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6975"/>
  </bookViews>
  <sheets>
    <sheet name="тарифы на 2017г ГВС с НДС" sheetId="1" r:id="rId1"/>
  </sheets>
  <definedNames>
    <definedName name="_xlnm._FilterDatabase" localSheetId="0" hidden="1">'тарифы на 2017г ГВС с НДС'!$A$1:$P$94</definedName>
  </definedNames>
  <calcPr calcId="145621"/>
</workbook>
</file>

<file path=xl/calcChain.xml><?xml version="1.0" encoding="utf-8"?>
<calcChain xmlns="http://schemas.openxmlformats.org/spreadsheetml/2006/main">
  <c r="D90" i="1" l="1"/>
  <c r="C90" i="1"/>
  <c r="D89" i="1"/>
  <c r="C89" i="1"/>
  <c r="D88" i="1"/>
  <c r="C88" i="1"/>
  <c r="E88" i="1" s="1"/>
  <c r="D87" i="1"/>
  <c r="C87" i="1"/>
  <c r="D86" i="1"/>
  <c r="C86" i="1"/>
  <c r="H85" i="1"/>
  <c r="D85" i="1"/>
  <c r="C85" i="1"/>
  <c r="E85" i="1" s="1"/>
  <c r="D82" i="1"/>
  <c r="C82" i="1"/>
  <c r="D81" i="1"/>
  <c r="C81" i="1"/>
  <c r="D80" i="1"/>
  <c r="E80" i="1" s="1"/>
  <c r="C80" i="1"/>
  <c r="D79" i="1"/>
  <c r="C79" i="1"/>
  <c r="H77" i="1"/>
  <c r="E77" i="1"/>
  <c r="E73" i="1"/>
  <c r="E69" i="1"/>
  <c r="D67" i="1"/>
  <c r="C67" i="1"/>
  <c r="D66" i="1"/>
  <c r="C66" i="1"/>
  <c r="D65" i="1"/>
  <c r="C65" i="1"/>
  <c r="E65" i="1" s="1"/>
  <c r="H62" i="1"/>
  <c r="E62" i="1"/>
  <c r="E59" i="1"/>
  <c r="E55" i="1"/>
  <c r="D55" i="1"/>
  <c r="D53" i="1"/>
  <c r="C53" i="1"/>
  <c r="D52" i="1"/>
  <c r="C52" i="1"/>
  <c r="D51" i="1"/>
  <c r="C51" i="1"/>
  <c r="G50" i="1"/>
  <c r="F50" i="1"/>
  <c r="D50" i="1"/>
  <c r="C50" i="1"/>
  <c r="G49" i="1"/>
  <c r="F49" i="1"/>
  <c r="D49" i="1"/>
  <c r="C49" i="1"/>
  <c r="G48" i="1"/>
  <c r="F48" i="1"/>
  <c r="D48" i="1"/>
  <c r="E48" i="1" s="1"/>
  <c r="C48" i="1"/>
  <c r="E45" i="1"/>
  <c r="E42" i="1"/>
  <c r="G41" i="1"/>
  <c r="F41" i="1"/>
  <c r="D41" i="1"/>
  <c r="C41" i="1"/>
  <c r="G40" i="1"/>
  <c r="F40" i="1"/>
  <c r="D40" i="1"/>
  <c r="C40" i="1"/>
  <c r="G39" i="1"/>
  <c r="H39" i="1" s="1"/>
  <c r="F39" i="1"/>
  <c r="D39" i="1"/>
  <c r="E39" i="1" s="1"/>
  <c r="C39" i="1"/>
  <c r="I37" i="1"/>
  <c r="F37" i="1"/>
  <c r="I36" i="1"/>
  <c r="F36" i="1"/>
  <c r="I35" i="1"/>
  <c r="K35" i="1" s="1"/>
  <c r="F35" i="1"/>
  <c r="H35" i="1" s="1"/>
  <c r="E35" i="1"/>
  <c r="D33" i="1"/>
  <c r="C33" i="1"/>
  <c r="D32" i="1"/>
  <c r="C32" i="1"/>
  <c r="D31" i="1"/>
  <c r="E31" i="1" s="1"/>
  <c r="C31" i="1"/>
  <c r="D30" i="1"/>
  <c r="C30" i="1"/>
  <c r="E30" i="1" s="1"/>
  <c r="D29" i="1"/>
  <c r="E29" i="1" s="1"/>
  <c r="C29" i="1"/>
  <c r="D28" i="1"/>
  <c r="C28" i="1"/>
  <c r="E28" i="1" s="1"/>
  <c r="D26" i="1"/>
  <c r="C26" i="1"/>
  <c r="D25" i="1"/>
  <c r="C25" i="1"/>
  <c r="D24" i="1"/>
  <c r="E24" i="1" s="1"/>
  <c r="C24" i="1"/>
  <c r="D23" i="1"/>
  <c r="C23" i="1"/>
  <c r="D22" i="1"/>
  <c r="C22" i="1"/>
  <c r="D21" i="1"/>
  <c r="E21" i="1" s="1"/>
  <c r="C21" i="1"/>
  <c r="G20" i="1"/>
  <c r="F20" i="1"/>
  <c r="D20" i="1"/>
  <c r="C20" i="1"/>
  <c r="G19" i="1"/>
  <c r="F19" i="1"/>
  <c r="D19" i="1"/>
  <c r="C19" i="1"/>
  <c r="G18" i="1"/>
  <c r="H18" i="1" s="1"/>
  <c r="F18" i="1"/>
  <c r="D18" i="1"/>
  <c r="E18" i="1" s="1"/>
  <c r="C18" i="1"/>
  <c r="D16" i="1"/>
  <c r="C16" i="1"/>
  <c r="D15" i="1"/>
  <c r="C15" i="1"/>
  <c r="D14" i="1"/>
  <c r="E14" i="1" s="1"/>
  <c r="C14" i="1"/>
  <c r="D13" i="1"/>
  <c r="C13" i="1"/>
  <c r="D12" i="1"/>
  <c r="C12" i="1"/>
  <c r="D11" i="1"/>
  <c r="E11" i="1" s="1"/>
  <c r="C11" i="1"/>
  <c r="D8" i="1"/>
  <c r="C8" i="1"/>
  <c r="D7" i="1"/>
  <c r="C7" i="1"/>
  <c r="D6" i="1"/>
  <c r="E6" i="1" s="1"/>
  <c r="C6" i="1"/>
  <c r="B4" i="1"/>
  <c r="D4" i="1" s="1"/>
  <c r="E4" i="1" s="1"/>
  <c r="F4" i="1" s="1"/>
  <c r="G4" i="1" s="1"/>
  <c r="H4" i="1" s="1"/>
  <c r="I4" i="1" s="1"/>
  <c r="J4" i="1" s="1"/>
  <c r="K4" i="1" s="1"/>
  <c r="M4" i="1" s="1"/>
  <c r="N4" i="1" s="1"/>
  <c r="P4" i="1" s="1"/>
</calcChain>
</file>

<file path=xl/sharedStrings.xml><?xml version="1.0" encoding="utf-8"?>
<sst xmlns="http://schemas.openxmlformats.org/spreadsheetml/2006/main" count="249" uniqueCount="112">
  <si>
    <t xml:space="preserve">№ п/п </t>
  </si>
  <si>
    <t xml:space="preserve">Название организации </t>
  </si>
  <si>
    <t>2017г.</t>
  </si>
  <si>
    <t>2018г.</t>
  </si>
  <si>
    <t>2019г.</t>
  </si>
  <si>
    <t>Является ли плательщиком НДС</t>
  </si>
  <si>
    <t xml:space="preserve"> № приказа</t>
  </si>
  <si>
    <t>Приказ № , дата принятия</t>
  </si>
  <si>
    <t>№,дата публикации в газете  Калининградская правда</t>
  </si>
  <si>
    <t>Дата публикации в газете  Калининградская правда</t>
  </si>
  <si>
    <t>с 01.01.2017г.     
по 30.06.2017г.</t>
  </si>
  <si>
    <t>с 01.07.2017г.  по 31.12.2017г.</t>
  </si>
  <si>
    <t>рост %</t>
  </si>
  <si>
    <t>с 01.01.2018г.     
по 30.06.2018г.</t>
  </si>
  <si>
    <t>с 01.07.2018г.  по 31.12.2018г.</t>
  </si>
  <si>
    <t>с 01.01.2019г.     
по 30.06.2019г.</t>
  </si>
  <si>
    <t>с 01.07.2019г.  по 31.12.2019г.</t>
  </si>
  <si>
    <t>1.</t>
  </si>
  <si>
    <t xml:space="preserve"> - АО ГУ "ЖКХ"  п. Долгоруково</t>
  </si>
  <si>
    <t>да</t>
  </si>
  <si>
    <t>№141-05т/16 от 20.12.2016г.</t>
  </si>
  <si>
    <t>№157-01т/15 от 13.11.2015г.</t>
  </si>
  <si>
    <t>"Калининградская правда" №242 (19108) от 28.12.2016г.</t>
  </si>
  <si>
    <t>"Калининградская правда", №218, от 25.11.2015</t>
  </si>
  <si>
    <t>компонент на холодную воду,руб/м3</t>
  </si>
  <si>
    <t>компонент на тепловую энергию, руб/Гкал</t>
  </si>
  <si>
    <t>МО "Балтийский муниципальный район"</t>
  </si>
  <si>
    <t>МО "Балтийское городское поселение"</t>
  </si>
  <si>
    <t xml:space="preserve"> - АО ГУ "ЖКХ"г.Балтийск.,ул.Адм.Кузнецова.,4</t>
  </si>
  <si>
    <t xml:space="preserve"> - АО ГУ "ЖКХ"г.Балтийск.,Балтийская коса,п.Рыбачий</t>
  </si>
  <si>
    <t>МО "Гурьевский городской округ"</t>
  </si>
  <si>
    <t>2.</t>
  </si>
  <si>
    <t>– МУП ЖКХ "Коммунальник"</t>
  </si>
  <si>
    <t>№141-01т/16 от 20.12.2016г.</t>
  </si>
  <si>
    <t>№197-02т/15 от 18.12.2015г.</t>
  </si>
  <si>
    <t>"Калининградская правда", №238 от 22.12.2016</t>
  </si>
  <si>
    <t xml:space="preserve"> - АО ГУ "ЖКХ" п.Сосновка</t>
  </si>
  <si>
    <t xml:space="preserve"> - АО ГУ "ЖКХ" п.Луговое</t>
  </si>
  <si>
    <t>МО "Гусевский городской округ"</t>
  </si>
  <si>
    <t>3.</t>
  </si>
  <si>
    <t>– ООО "Гранит плюс"</t>
  </si>
  <si>
    <t>№141-02т/16 от 20.12.2016г.</t>
  </si>
  <si>
    <t>"Калининградская правда", №237 от 19.12.2016</t>
  </si>
  <si>
    <t>– АО ГУ "ЖКХ" ул. Смирнова,13</t>
  </si>
  <si>
    <t>МО "Зеленоградский городской округ"</t>
  </si>
  <si>
    <t>4.</t>
  </si>
  <si>
    <t xml:space="preserve"> - Зеленоградские тепловые сети"</t>
  </si>
  <si>
    <t>нет</t>
  </si>
  <si>
    <t>№141-03т/16 от 20.12.2016г</t>
  </si>
  <si>
    <t>МО городской округ "Город Калининград"</t>
  </si>
  <si>
    <t>5.</t>
  </si>
  <si>
    <t>– МП "Калининградтеплосеть" в г/воде</t>
  </si>
  <si>
    <t>№140-01т/16 от 20.12.2016г.</t>
  </si>
  <si>
    <t>№198-03т/15 от 20.12.2015г., №198-01т/15 о внесен. изм. в №162-03т/14 от 19.12.2014г., в ред. №03-01т/15 от 16.01.2015</t>
  </si>
  <si>
    <t>"Калининградская правда", №239-240 (19105-19106) от 23.12.2016г.</t>
  </si>
  <si>
    <t>6.</t>
  </si>
  <si>
    <t>– ООО "Комфорт сервис"</t>
  </si>
  <si>
    <t>"Калининградская правда", №238 от 22.12.2015</t>
  </si>
  <si>
    <t>7.</t>
  </si>
  <si>
    <t>– ООО институт "Запводпроект"</t>
  </si>
  <si>
    <t>8.</t>
  </si>
  <si>
    <t>– Калининградский пограничный инстутит ФСБ России</t>
  </si>
  <si>
    <t>№156-02т/15 от 13.11.2015г.</t>
  </si>
  <si>
    <t>"Калининградская правда", № 212 , от 17.11.2015</t>
  </si>
  <si>
    <t xml:space="preserve"> - АО ГУ "ЖКХ"</t>
  </si>
  <si>
    <t>МО "Краснознаменский городской округ"</t>
  </si>
  <si>
    <t>9.</t>
  </si>
  <si>
    <t>№106-02т/16 от 03.11.2016г.</t>
  </si>
  <si>
    <t>"Калининградская правда", №206 от 08.11.2016</t>
  </si>
  <si>
    <t>МО "Ладушкинский городской округ"</t>
  </si>
  <si>
    <t>10.</t>
  </si>
  <si>
    <r>
      <t xml:space="preserve"> - МУП " Коммунальные системы"  </t>
    </r>
    <r>
      <rPr>
        <sz val="14"/>
        <color indexed="9"/>
        <rFont val="Times New Roman"/>
        <family val="1"/>
        <charset val="204"/>
      </rPr>
      <t>(с28.06.2016г)</t>
    </r>
  </si>
  <si>
    <t>№127-03т/16 от 09.12.2016г.</t>
  </si>
  <si>
    <t>№61-02т/16 от 23.06.2016г.</t>
  </si>
  <si>
    <t>Калининградская правда №233 (19099) от 15.12.2016г</t>
  </si>
  <si>
    <t>" Калининградская правда" № 113, от 28.06.2016г.</t>
  </si>
  <si>
    <t>11.</t>
  </si>
  <si>
    <t xml:space="preserve"> - ЗАО "Ладушкинское" </t>
  </si>
  <si>
    <t>МО "Мамоновский городской округ"</t>
  </si>
  <si>
    <t>12.</t>
  </si>
  <si>
    <t xml:space="preserve"> - МУП ЖКХ "Коммунальщик"</t>
  </si>
  <si>
    <t>№197-03т/15 от 18.12.2015г.</t>
  </si>
  <si>
    <t>Калининградская правда, №238 от 22.12.2015</t>
  </si>
  <si>
    <t>МО "Пионерский городской округ"</t>
  </si>
  <si>
    <t>13.</t>
  </si>
  <si>
    <t>МУП "Теплосеть" ПГО</t>
  </si>
  <si>
    <t>№141-02т/16 от 20.12.2016г</t>
  </si>
  <si>
    <t>МО "Светловский городской округ"</t>
  </si>
  <si>
    <t>14.</t>
  </si>
  <si>
    <t xml:space="preserve"> - УМП Светловская теплосеть</t>
  </si>
  <si>
    <t xml:space="preserve">  №189-02т/15 от 16.12.2015г.</t>
  </si>
  <si>
    <t>Калининградская правда, №237 от 19.12.2015</t>
  </si>
  <si>
    <t xml:space="preserve">  - от теплоисточника расположенного в пос. Люблино </t>
  </si>
  <si>
    <t>№13-03т/16 от 26.02.2016г.( с изм. №16-01т/16 от 04.03.2016г)</t>
  </si>
  <si>
    <t>"Калининградская правда"№233 (19099) от 15.12.2016г.</t>
  </si>
  <si>
    <t>Калининградская правда, №35 от 02.03.2016 (изм. в №  от 10.03.2016г)</t>
  </si>
  <si>
    <t>МО "Светлогорский  район"</t>
  </si>
  <si>
    <t>МО город "Светлогорск"</t>
  </si>
  <si>
    <t>15.</t>
  </si>
  <si>
    <t xml:space="preserve"> - МУП "Светлогорскмежрайводоканал" </t>
  </si>
  <si>
    <t>№199-01т/15 от 20.12.2015г.,№88-02т/15 от 25.06.2015г. ( в 2015г-упрощенка, 2016г.-обычная система налогооблажения)</t>
  </si>
  <si>
    <t>Калининградская правда, №218, от 25.11.2015</t>
  </si>
  <si>
    <t>МО "Янтарный городской округ"</t>
  </si>
  <si>
    <t>16.</t>
  </si>
  <si>
    <t xml:space="preserve">МУП «ЭО-Янтарный» </t>
  </si>
  <si>
    <t>№134-05т/16 от 15.12.2016г.</t>
  </si>
  <si>
    <t>№ 34-02т/16 от 25.04.2016г.</t>
  </si>
  <si>
    <t>"Калининградская правда"№237 (19103) от 21.12.2016г.</t>
  </si>
  <si>
    <t>Калининградская правда,  №73(18939) от 27.04.2016г</t>
  </si>
  <si>
    <t xml:space="preserve">МО Багратионовский городской округ </t>
  </si>
  <si>
    <t>Утвержденные тарифы на горячую воду, отпускаемую теплоснабжающими организациями Калининградской области, на  2017 для НАСЕЛЕНИЯ (С НДС)</t>
  </si>
  <si>
    <t xml:space="preserve"> - МУП "Краснознаменсктеплосеть"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</si>
</sst>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37" x14ac:knownFonts="1">
    <font>
      <sz val="10"/>
      <name val="Arial"/>
    </font>
    <font>
      <b/>
      <sz val="18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</font>
    <font>
      <sz val="11"/>
      <name val="Times New Roman"/>
      <family val="1"/>
    </font>
    <font>
      <i/>
      <sz val="9"/>
      <name val="Times New Roman"/>
      <family val="1"/>
    </font>
    <font>
      <i/>
      <sz val="14"/>
      <name val="Times New Roman"/>
      <family val="1"/>
    </font>
    <font>
      <i/>
      <sz val="11"/>
      <color rgb="FFFF0000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</font>
    <font>
      <b/>
      <sz val="13"/>
      <name val="Arial"/>
      <family val="2"/>
      <charset val="204"/>
    </font>
    <font>
      <i/>
      <sz val="13"/>
      <name val="Times New Roman"/>
      <family val="1"/>
      <charset val="204"/>
    </font>
    <font>
      <sz val="13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</font>
    <font>
      <sz val="9"/>
      <color theme="2" tint="-0.499984740745262"/>
      <name val="Times New Roman"/>
      <family val="1"/>
    </font>
    <font>
      <sz val="14"/>
      <color theme="2" tint="-0.499984740745262"/>
      <name val="Times New Roman"/>
      <family val="1"/>
    </font>
    <font>
      <sz val="14"/>
      <color indexed="9"/>
      <name val="Times New Roman"/>
      <family val="1"/>
      <charset val="204"/>
    </font>
    <font>
      <b/>
      <sz val="13"/>
      <name val="Times New Roman"/>
      <family val="1"/>
    </font>
    <font>
      <b/>
      <i/>
      <sz val="14"/>
      <name val="Times New Roman"/>
      <family val="1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36" fillId="0" borderId="0" applyFont="0" applyFill="0" applyBorder="0" applyAlignment="0" applyProtection="0"/>
  </cellStyleXfs>
  <cellXfs count="13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2" fontId="11" fillId="4" borderId="8" xfId="0" applyNumberFormat="1" applyFont="1" applyFill="1" applyBorder="1" applyAlignment="1" applyProtection="1">
      <alignment horizontal="center" vertical="center" wrapText="1"/>
    </xf>
    <xf numFmtId="2" fontId="11" fillId="4" borderId="5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3" fillId="0" borderId="11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left"/>
    </xf>
    <xf numFmtId="2" fontId="15" fillId="0" borderId="7" xfId="0" applyNumberFormat="1" applyFont="1" applyFill="1" applyBorder="1" applyAlignment="1" applyProtection="1">
      <alignment horizontal="center"/>
    </xf>
    <xf numFmtId="164" fontId="15" fillId="0" borderId="7" xfId="0" applyNumberFormat="1" applyFont="1" applyFill="1" applyBorder="1" applyAlignment="1" applyProtection="1">
      <alignment horizontal="center"/>
    </xf>
    <xf numFmtId="164" fontId="16" fillId="0" borderId="7" xfId="0" applyNumberFormat="1" applyFont="1" applyFill="1" applyBorder="1" applyAlignment="1" applyProtection="1">
      <alignment horizontal="center"/>
    </xf>
    <xf numFmtId="0" fontId="17" fillId="0" borderId="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Protection="1"/>
    <xf numFmtId="0" fontId="21" fillId="0" borderId="12" xfId="0" applyFont="1" applyFill="1" applyBorder="1" applyAlignment="1" applyProtection="1">
      <alignment horizontal="center" vertical="center"/>
    </xf>
    <xf numFmtId="0" fontId="22" fillId="5" borderId="5" xfId="0" applyFont="1" applyFill="1" applyBorder="1" applyAlignment="1" applyProtection="1">
      <alignment vertical="center"/>
    </xf>
    <xf numFmtId="2" fontId="10" fillId="0" borderId="5" xfId="0" applyNumberFormat="1" applyFont="1" applyFill="1" applyBorder="1" applyAlignment="1" applyProtection="1">
      <alignment horizontal="center" vertical="center"/>
    </xf>
    <xf numFmtId="164" fontId="15" fillId="0" borderId="5" xfId="0" applyNumberFormat="1" applyFont="1" applyFill="1" applyBorder="1" applyAlignment="1" applyProtection="1">
      <alignment horizontal="center" vertical="center"/>
    </xf>
    <xf numFmtId="164" fontId="15" fillId="0" borderId="5" xfId="0" applyNumberFormat="1" applyFont="1" applyFill="1" applyBorder="1" applyAlignment="1" applyProtection="1">
      <alignment vertical="center"/>
    </xf>
    <xf numFmtId="0" fontId="15" fillId="0" borderId="5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/>
    </xf>
    <xf numFmtId="0" fontId="22" fillId="5" borderId="5" xfId="0" applyFont="1" applyFill="1" applyBorder="1" applyAlignment="1" applyProtection="1">
      <alignment horizontal="left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25" fillId="0" borderId="12" xfId="0" applyFont="1" applyFill="1" applyBorder="1" applyAlignment="1" applyProtection="1">
      <alignment horizontal="center" vertical="center"/>
    </xf>
    <xf numFmtId="2" fontId="15" fillId="0" borderId="5" xfId="0" applyNumberFormat="1" applyFont="1" applyFill="1" applyBorder="1" applyAlignment="1" applyProtection="1">
      <alignment horizontal="center" vertical="center"/>
    </xf>
    <xf numFmtId="164" fontId="16" fillId="0" borderId="5" xfId="0" applyNumberFormat="1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 wrapText="1"/>
    </xf>
    <xf numFmtId="0" fontId="14" fillId="0" borderId="7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2" fontId="10" fillId="5" borderId="5" xfId="0" applyNumberFormat="1" applyFont="1" applyFill="1" applyBorder="1" applyAlignment="1" applyProtection="1">
      <alignment horizontal="center" vertical="center"/>
    </xf>
    <xf numFmtId="164" fontId="15" fillId="5" borderId="5" xfId="0" applyNumberFormat="1" applyFont="1" applyFill="1" applyBorder="1" applyAlignment="1" applyProtection="1">
      <alignment horizontal="center" vertical="center"/>
    </xf>
    <xf numFmtId="164" fontId="16" fillId="5" borderId="5" xfId="0" applyNumberFormat="1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left" vertical="center"/>
    </xf>
    <xf numFmtId="2" fontId="27" fillId="5" borderId="5" xfId="0" applyNumberFormat="1" applyFont="1" applyFill="1" applyBorder="1" applyAlignment="1" applyProtection="1">
      <alignment horizontal="center" vertical="center"/>
    </xf>
    <xf numFmtId="164" fontId="27" fillId="5" borderId="5" xfId="0" applyNumberFormat="1" applyFont="1" applyFill="1" applyBorder="1" applyAlignment="1" applyProtection="1">
      <alignment horizontal="center" vertical="center"/>
    </xf>
    <xf numFmtId="164" fontId="28" fillId="5" borderId="5" xfId="0" applyNumberFormat="1" applyFont="1" applyFill="1" applyBorder="1" applyAlignment="1" applyProtection="1">
      <alignment horizontal="center" vertical="center"/>
    </xf>
    <xf numFmtId="2" fontId="29" fillId="5" borderId="5" xfId="0" applyNumberFormat="1" applyFont="1" applyFill="1" applyBorder="1" applyAlignment="1" applyProtection="1">
      <alignment horizontal="center" vertical="center"/>
    </xf>
    <xf numFmtId="0" fontId="22" fillId="5" borderId="7" xfId="0" applyFont="1" applyFill="1" applyBorder="1" applyAlignment="1" applyProtection="1">
      <alignment vertical="center"/>
    </xf>
    <xf numFmtId="2" fontId="15" fillId="0" borderId="5" xfId="0" applyNumberFormat="1" applyFont="1" applyFill="1" applyBorder="1" applyAlignment="1" applyProtection="1">
      <alignment vertical="center"/>
    </xf>
    <xf numFmtId="0" fontId="23" fillId="0" borderId="5" xfId="0" applyFont="1" applyFill="1" applyBorder="1" applyAlignment="1" applyProtection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/>
    </xf>
    <xf numFmtId="0" fontId="23" fillId="0" borderId="4" xfId="0" applyFont="1" applyFill="1" applyBorder="1" applyAlignment="1" applyProtection="1">
      <alignment vertical="center" wrapText="1"/>
    </xf>
    <xf numFmtId="164" fontId="30" fillId="0" borderId="5" xfId="0" applyNumberFormat="1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 wrapText="1"/>
    </xf>
    <xf numFmtId="0" fontId="2" fillId="0" borderId="7" xfId="0" applyFont="1" applyFill="1" applyBorder="1" applyProtection="1"/>
    <xf numFmtId="0" fontId="23" fillId="0" borderId="5" xfId="0" applyFont="1" applyFill="1" applyBorder="1" applyAlignment="1" applyProtection="1">
      <alignment horizontal="center" vertical="center" wrapText="1"/>
    </xf>
    <xf numFmtId="164" fontId="15" fillId="0" borderId="5" xfId="0" applyNumberFormat="1" applyFont="1" applyFill="1" applyBorder="1" applyAlignment="1" applyProtection="1">
      <alignment horizontal="center"/>
    </xf>
    <xf numFmtId="164" fontId="16" fillId="0" borderId="5" xfId="0" applyNumberFormat="1" applyFont="1" applyFill="1" applyBorder="1" applyAlignment="1" applyProtection="1">
      <alignment horizontal="center"/>
    </xf>
    <xf numFmtId="164" fontId="28" fillId="0" borderId="5" xfId="0" applyNumberFormat="1" applyFont="1" applyFill="1" applyBorder="1" applyAlignment="1" applyProtection="1">
      <alignment horizontal="center"/>
    </xf>
    <xf numFmtId="164" fontId="22" fillId="0" borderId="5" xfId="0" applyNumberFormat="1" applyFont="1" applyFill="1" applyBorder="1" applyAlignment="1" applyProtection="1">
      <alignment horizontal="center"/>
    </xf>
    <xf numFmtId="0" fontId="31" fillId="0" borderId="5" xfId="0" applyFont="1" applyFill="1" applyBorder="1" applyAlignment="1" applyProtection="1">
      <alignment horizontal="center" vertical="center" wrapText="1"/>
    </xf>
    <xf numFmtId="0" fontId="32" fillId="0" borderId="5" xfId="0" applyFont="1" applyFill="1" applyBorder="1" applyAlignment="1" applyProtection="1">
      <alignment horizontal="center" vertical="center" wrapText="1"/>
    </xf>
    <xf numFmtId="2" fontId="29" fillId="0" borderId="5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wrapText="1"/>
    </xf>
    <xf numFmtId="0" fontId="15" fillId="0" borderId="5" xfId="0" applyFont="1" applyFill="1" applyBorder="1" applyAlignment="1" applyProtection="1">
      <alignment vertical="center"/>
    </xf>
    <xf numFmtId="164" fontId="10" fillId="0" borderId="5" xfId="0" applyNumberFormat="1" applyFont="1" applyFill="1" applyBorder="1" applyAlignment="1" applyProtection="1">
      <alignment horizontal="center"/>
    </xf>
    <xf numFmtId="164" fontId="22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left" vertical="center" wrapText="1"/>
    </xf>
    <xf numFmtId="0" fontId="16" fillId="0" borderId="5" xfId="0" applyFont="1" applyFill="1" applyBorder="1" applyAlignment="1" applyProtection="1">
      <alignment horizontal="left" vertical="center" wrapText="1"/>
    </xf>
    <xf numFmtId="2" fontId="22" fillId="0" borderId="5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wrapText="1"/>
    </xf>
    <xf numFmtId="0" fontId="3" fillId="0" borderId="5" xfId="0" applyFont="1" applyFill="1" applyBorder="1" applyAlignment="1" applyProtection="1">
      <alignment horizontal="center" wrapText="1"/>
    </xf>
    <xf numFmtId="0" fontId="34" fillId="0" borderId="12" xfId="0" applyFont="1" applyFill="1" applyBorder="1" applyAlignment="1" applyProtection="1">
      <alignment horizontal="center" vertical="center"/>
    </xf>
    <xf numFmtId="2" fontId="22" fillId="0" borderId="5" xfId="0" applyNumberFormat="1" applyFont="1" applyFill="1" applyBorder="1" applyAlignment="1" applyProtection="1">
      <alignment horizontal="center"/>
    </xf>
    <xf numFmtId="2" fontId="15" fillId="0" borderId="5" xfId="0" applyNumberFormat="1" applyFont="1" applyFill="1" applyBorder="1" applyAlignment="1" applyProtection="1">
      <alignment horizontal="center"/>
    </xf>
    <xf numFmtId="164" fontId="15" fillId="0" borderId="6" xfId="0" applyNumberFormat="1" applyFont="1" applyFill="1" applyBorder="1" applyAlignment="1" applyProtection="1">
      <alignment horizontal="center" vertical="center"/>
    </xf>
    <xf numFmtId="164" fontId="16" fillId="0" borderId="6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wrapText="1"/>
    </xf>
    <xf numFmtId="164" fontId="15" fillId="0" borderId="3" xfId="0" applyNumberFormat="1" applyFont="1" applyFill="1" applyBorder="1" applyAlignment="1" applyProtection="1">
      <alignment horizontal="center" vertical="center"/>
    </xf>
    <xf numFmtId="164" fontId="16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5" fillId="0" borderId="0" xfId="0" applyFont="1" applyFill="1" applyProtection="1"/>
    <xf numFmtId="2" fontId="15" fillId="0" borderId="0" xfId="0" applyNumberFormat="1" applyFont="1" applyFill="1" applyProtection="1"/>
    <xf numFmtId="0" fontId="15" fillId="0" borderId="0" xfId="0" applyFont="1" applyFill="1" applyProtection="1"/>
    <xf numFmtId="0" fontId="16" fillId="0" borderId="0" xfId="0" applyFont="1" applyFill="1" applyProtection="1"/>
    <xf numFmtId="0" fontId="15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3" fillId="0" borderId="0" xfId="0" applyFont="1" applyFill="1" applyProtection="1"/>
    <xf numFmtId="0" fontId="2" fillId="0" borderId="0" xfId="0" applyFont="1" applyFill="1" applyProtection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94"/>
  <sheetViews>
    <sheetView tabSelected="1" zoomScale="75" zoomScaleNormal="75" workbookViewId="0">
      <pane xSplit="2" ySplit="3" topLeftCell="C4" activePane="bottomRight" state="frozen"/>
      <selection pane="topRight" activeCell="Y1" sqref="Y1"/>
      <selection pane="bottomLeft" activeCell="A8" sqref="A8"/>
      <selection pane="bottomRight" sqref="A1:N1"/>
    </sheetView>
  </sheetViews>
  <sheetFormatPr defaultRowHeight="27" customHeight="1" x14ac:dyDescent="0.35"/>
  <cols>
    <col min="1" max="1" width="6.5703125" style="122" customWidth="1"/>
    <col min="2" max="2" width="77.7109375" style="123" customWidth="1"/>
    <col min="3" max="3" width="15.7109375" style="124" customWidth="1"/>
    <col min="4" max="4" width="15.85546875" style="124" customWidth="1"/>
    <col min="5" max="5" width="7.7109375" style="125" customWidth="1"/>
    <col min="6" max="7" width="13.5703125" style="125" hidden="1" customWidth="1"/>
    <col min="8" max="8" width="7.85546875" style="125" hidden="1" customWidth="1"/>
    <col min="9" max="9" width="13.5703125" style="126" hidden="1" customWidth="1"/>
    <col min="10" max="10" width="14.140625" style="126" hidden="1" customWidth="1"/>
    <col min="11" max="11" width="7.85546875" style="126" hidden="1" customWidth="1"/>
    <col min="12" max="12" width="11.42578125" style="127" customWidth="1"/>
    <col min="13" max="13" width="17.7109375" style="128" customWidth="1"/>
    <col min="14" max="14" width="22.42578125" style="129" hidden="1" customWidth="1"/>
    <col min="15" max="15" width="33.7109375" style="129" hidden="1" customWidth="1"/>
    <col min="16" max="16" width="3" style="130" hidden="1" customWidth="1"/>
    <col min="17" max="16384" width="9.140625" style="6"/>
  </cols>
  <sheetData>
    <row r="1" spans="1:16" ht="54" customHeight="1" x14ac:dyDescent="0.3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</row>
    <row r="2" spans="1:16" ht="27" customHeight="1" x14ac:dyDescent="0.3">
      <c r="A2" s="7" t="s">
        <v>0</v>
      </c>
      <c r="B2" s="8" t="s">
        <v>1</v>
      </c>
      <c r="C2" s="9" t="s">
        <v>2</v>
      </c>
      <c r="D2" s="10"/>
      <c r="E2" s="11"/>
      <c r="F2" s="12" t="s">
        <v>3</v>
      </c>
      <c r="G2" s="12"/>
      <c r="H2" s="12"/>
      <c r="I2" s="13" t="s">
        <v>4</v>
      </c>
      <c r="J2" s="14"/>
      <c r="K2" s="15"/>
      <c r="L2" s="16" t="s">
        <v>5</v>
      </c>
      <c r="M2" s="17" t="s">
        <v>6</v>
      </c>
      <c r="N2" s="18" t="s">
        <v>7</v>
      </c>
      <c r="O2" s="19" t="s">
        <v>8</v>
      </c>
      <c r="P2" s="20" t="s">
        <v>9</v>
      </c>
    </row>
    <row r="3" spans="1:16" ht="27" customHeight="1" x14ac:dyDescent="0.3">
      <c r="A3" s="21"/>
      <c r="B3" s="22"/>
      <c r="C3" s="23" t="s">
        <v>10</v>
      </c>
      <c r="D3" s="24" t="s">
        <v>11</v>
      </c>
      <c r="E3" s="25" t="s">
        <v>12</v>
      </c>
      <c r="F3" s="26" t="s">
        <v>13</v>
      </c>
      <c r="G3" s="26" t="s">
        <v>14</v>
      </c>
      <c r="H3" s="27" t="s">
        <v>12</v>
      </c>
      <c r="I3" s="26" t="s">
        <v>15</v>
      </c>
      <c r="J3" s="26" t="s">
        <v>16</v>
      </c>
      <c r="K3" s="28" t="s">
        <v>12</v>
      </c>
      <c r="L3" s="29"/>
      <c r="M3" s="30"/>
      <c r="N3" s="31"/>
      <c r="O3" s="19"/>
      <c r="P3" s="32"/>
    </row>
    <row r="4" spans="1:16" s="36" customFormat="1" ht="18" customHeight="1" x14ac:dyDescent="0.2">
      <c r="A4" s="33">
        <v>1</v>
      </c>
      <c r="B4" s="33">
        <f>A4+1</f>
        <v>2</v>
      </c>
      <c r="C4" s="33">
        <v>3</v>
      </c>
      <c r="D4" s="33">
        <f t="shared" ref="D4:N4" si="0">C4+1</f>
        <v>4</v>
      </c>
      <c r="E4" s="33">
        <f t="shared" si="0"/>
        <v>5</v>
      </c>
      <c r="F4" s="33">
        <f t="shared" si="0"/>
        <v>6</v>
      </c>
      <c r="G4" s="33">
        <f t="shared" si="0"/>
        <v>7</v>
      </c>
      <c r="H4" s="33">
        <f t="shared" si="0"/>
        <v>8</v>
      </c>
      <c r="I4" s="33">
        <f t="shared" si="0"/>
        <v>9</v>
      </c>
      <c r="J4" s="33">
        <f t="shared" si="0"/>
        <v>10</v>
      </c>
      <c r="K4" s="33">
        <f t="shared" si="0"/>
        <v>11</v>
      </c>
      <c r="L4" s="33">
        <v>6</v>
      </c>
      <c r="M4" s="33">
        <f t="shared" si="0"/>
        <v>7</v>
      </c>
      <c r="N4" s="34">
        <f t="shared" si="0"/>
        <v>8</v>
      </c>
      <c r="O4" s="35">
        <v>8</v>
      </c>
      <c r="P4" s="33">
        <f>N4+1</f>
        <v>9</v>
      </c>
    </row>
    <row r="5" spans="1:16" ht="20.25" customHeight="1" x14ac:dyDescent="0.3">
      <c r="A5" s="37"/>
      <c r="B5" s="38" t="s">
        <v>109</v>
      </c>
      <c r="C5" s="39"/>
      <c r="D5" s="39"/>
      <c r="E5" s="40"/>
      <c r="F5" s="40"/>
      <c r="G5" s="40"/>
      <c r="H5" s="40"/>
      <c r="I5" s="41"/>
      <c r="J5" s="41"/>
      <c r="K5" s="41"/>
      <c r="L5" s="42"/>
      <c r="M5" s="43"/>
      <c r="N5" s="44"/>
      <c r="O5" s="45"/>
      <c r="P5" s="46"/>
    </row>
    <row r="6" spans="1:16" ht="31.5" customHeight="1" x14ac:dyDescent="0.3">
      <c r="A6" s="47" t="s">
        <v>17</v>
      </c>
      <c r="B6" s="48" t="s">
        <v>18</v>
      </c>
      <c r="C6" s="49">
        <f>121.66*1.18</f>
        <v>143.55879999999999</v>
      </c>
      <c r="D6" s="49">
        <f>128.96*1.18</f>
        <v>152.1728</v>
      </c>
      <c r="E6" s="50">
        <f>D6/C6*100</f>
        <v>106.00032878513892</v>
      </c>
      <c r="F6" s="51"/>
      <c r="G6" s="51"/>
      <c r="H6" s="51"/>
      <c r="I6" s="50"/>
      <c r="J6" s="50"/>
      <c r="K6" s="50"/>
      <c r="L6" s="52" t="s">
        <v>19</v>
      </c>
      <c r="M6" s="53" t="s">
        <v>20</v>
      </c>
      <c r="N6" s="54" t="s">
        <v>21</v>
      </c>
      <c r="O6" s="55" t="s">
        <v>22</v>
      </c>
      <c r="P6" s="56" t="s">
        <v>23</v>
      </c>
    </row>
    <row r="7" spans="1:16" ht="21" customHeight="1" x14ac:dyDescent="0.3">
      <c r="A7" s="57"/>
      <c r="B7" s="58" t="s">
        <v>24</v>
      </c>
      <c r="C7" s="49">
        <f>19.06*1.18</f>
        <v>22.490799999999997</v>
      </c>
      <c r="D7" s="49">
        <f>22.87*1.18</f>
        <v>26.986599999999999</v>
      </c>
      <c r="E7" s="51"/>
      <c r="F7" s="51"/>
      <c r="G7" s="51"/>
      <c r="H7" s="51"/>
      <c r="I7" s="50"/>
      <c r="J7" s="50"/>
      <c r="K7" s="50"/>
      <c r="L7" s="52"/>
      <c r="M7" s="59"/>
      <c r="N7" s="54"/>
      <c r="O7" s="53"/>
      <c r="P7" s="46"/>
    </row>
    <row r="8" spans="1:16" ht="21" customHeight="1" x14ac:dyDescent="0.3">
      <c r="A8" s="57"/>
      <c r="B8" s="58" t="s">
        <v>25</v>
      </c>
      <c r="C8" s="49">
        <f>1693*1.18</f>
        <v>1997.7399999999998</v>
      </c>
      <c r="D8" s="49">
        <f>1750.56*1.18</f>
        <v>2065.6607999999997</v>
      </c>
      <c r="E8" s="51"/>
      <c r="F8" s="51"/>
      <c r="G8" s="51"/>
      <c r="H8" s="51"/>
      <c r="I8" s="50"/>
      <c r="J8" s="50"/>
      <c r="K8" s="50"/>
      <c r="L8" s="52"/>
      <c r="M8" s="59"/>
      <c r="N8" s="54"/>
      <c r="O8" s="53"/>
      <c r="P8" s="46"/>
    </row>
    <row r="9" spans="1:16" ht="24.75" customHeight="1" x14ac:dyDescent="0.3">
      <c r="A9" s="60"/>
      <c r="B9" s="38" t="s">
        <v>26</v>
      </c>
      <c r="C9" s="61"/>
      <c r="D9" s="61"/>
      <c r="E9" s="50"/>
      <c r="F9" s="50"/>
      <c r="G9" s="50"/>
      <c r="H9" s="50"/>
      <c r="I9" s="62"/>
      <c r="J9" s="62"/>
      <c r="K9" s="62"/>
      <c r="L9" s="63"/>
      <c r="M9" s="64"/>
      <c r="N9" s="65"/>
      <c r="O9" s="45"/>
      <c r="P9" s="46"/>
    </row>
    <row r="10" spans="1:16" ht="18.75" customHeight="1" x14ac:dyDescent="0.3">
      <c r="A10" s="60"/>
      <c r="B10" s="66" t="s">
        <v>27</v>
      </c>
      <c r="C10" s="61"/>
      <c r="D10" s="61"/>
      <c r="E10" s="50"/>
      <c r="F10" s="50"/>
      <c r="G10" s="50"/>
      <c r="H10" s="50"/>
      <c r="I10" s="62"/>
      <c r="J10" s="62"/>
      <c r="K10" s="62"/>
      <c r="L10" s="63"/>
      <c r="M10" s="64"/>
      <c r="N10" s="65"/>
      <c r="O10" s="45"/>
      <c r="P10" s="46"/>
    </row>
    <row r="11" spans="1:16" ht="32.25" customHeight="1" x14ac:dyDescent="0.3">
      <c r="A11" s="60"/>
      <c r="B11" s="48" t="s">
        <v>28</v>
      </c>
      <c r="C11" s="49">
        <f>189.22*1.18</f>
        <v>223.27959999999999</v>
      </c>
      <c r="D11" s="49">
        <f>195.65*1.18</f>
        <v>230.86699999999999</v>
      </c>
      <c r="E11" s="50">
        <f>D11/C11*100</f>
        <v>103.39816087094387</v>
      </c>
      <c r="F11" s="51"/>
      <c r="G11" s="51"/>
      <c r="H11" s="51"/>
      <c r="I11" s="50"/>
      <c r="J11" s="50"/>
      <c r="K11" s="50"/>
      <c r="L11" s="52" t="s">
        <v>19</v>
      </c>
      <c r="M11" s="53" t="s">
        <v>20</v>
      </c>
      <c r="N11" s="54" t="s">
        <v>21</v>
      </c>
      <c r="O11" s="53" t="s">
        <v>22</v>
      </c>
      <c r="P11" s="67" t="s">
        <v>23</v>
      </c>
    </row>
    <row r="12" spans="1:16" ht="20.25" customHeight="1" x14ac:dyDescent="0.3">
      <c r="A12" s="57"/>
      <c r="B12" s="58" t="s">
        <v>24</v>
      </c>
      <c r="C12" s="49">
        <f>21.65*1.18</f>
        <v>25.546999999999997</v>
      </c>
      <c r="D12" s="49">
        <f>22.38*1.18</f>
        <v>26.408399999999997</v>
      </c>
      <c r="E12" s="51"/>
      <c r="F12" s="51"/>
      <c r="G12" s="51"/>
      <c r="H12" s="51"/>
      <c r="I12" s="50"/>
      <c r="J12" s="50"/>
      <c r="K12" s="50"/>
      <c r="L12" s="52"/>
      <c r="M12" s="59"/>
      <c r="N12" s="54"/>
      <c r="O12" s="53"/>
      <c r="P12" s="46"/>
    </row>
    <row r="13" spans="1:16" ht="18" customHeight="1" x14ac:dyDescent="0.3">
      <c r="A13" s="57"/>
      <c r="B13" s="58" t="s">
        <v>25</v>
      </c>
      <c r="C13" s="49">
        <f>2765.12*1.18</f>
        <v>3262.8415999999997</v>
      </c>
      <c r="D13" s="49">
        <f>2859.13*1.18</f>
        <v>3373.7734</v>
      </c>
      <c r="E13" s="51"/>
      <c r="F13" s="51"/>
      <c r="G13" s="51"/>
      <c r="H13" s="51"/>
      <c r="I13" s="50"/>
      <c r="J13" s="50"/>
      <c r="K13" s="50"/>
      <c r="L13" s="52"/>
      <c r="M13" s="59"/>
      <c r="N13" s="54"/>
      <c r="O13" s="53"/>
      <c r="P13" s="46"/>
    </row>
    <row r="14" spans="1:16" ht="33" customHeight="1" x14ac:dyDescent="0.3">
      <c r="A14" s="57"/>
      <c r="B14" s="48" t="s">
        <v>29</v>
      </c>
      <c r="C14" s="49">
        <f>186.15*1.18</f>
        <v>219.65699999999998</v>
      </c>
      <c r="D14" s="49">
        <f>193.07*1.18</f>
        <v>227.82259999999997</v>
      </c>
      <c r="E14" s="50">
        <f>D14/C14*100</f>
        <v>103.71743217835079</v>
      </c>
      <c r="F14" s="51"/>
      <c r="G14" s="51"/>
      <c r="H14" s="51"/>
      <c r="I14" s="50"/>
      <c r="J14" s="50"/>
      <c r="K14" s="50"/>
      <c r="L14" s="52" t="s">
        <v>19</v>
      </c>
      <c r="M14" s="53" t="s">
        <v>20</v>
      </c>
      <c r="N14" s="54" t="s">
        <v>21</v>
      </c>
      <c r="O14" s="53" t="s">
        <v>22</v>
      </c>
      <c r="P14" s="67" t="s">
        <v>23</v>
      </c>
    </row>
    <row r="15" spans="1:16" ht="18" customHeight="1" x14ac:dyDescent="0.3">
      <c r="A15" s="57"/>
      <c r="B15" s="48" t="s">
        <v>24</v>
      </c>
      <c r="C15" s="49">
        <f>18.58*1.18</f>
        <v>21.924399999999999</v>
      </c>
      <c r="D15" s="49">
        <f>19.8*1.18</f>
        <v>23.364000000000001</v>
      </c>
      <c r="E15" s="51"/>
      <c r="F15" s="51"/>
      <c r="G15" s="51"/>
      <c r="H15" s="51"/>
      <c r="I15" s="50"/>
      <c r="J15" s="50"/>
      <c r="K15" s="50"/>
      <c r="L15" s="52"/>
      <c r="M15" s="59"/>
      <c r="N15" s="54"/>
      <c r="O15" s="53"/>
      <c r="P15" s="46"/>
    </row>
    <row r="16" spans="1:16" ht="21.75" customHeight="1" x14ac:dyDescent="0.3">
      <c r="A16" s="57"/>
      <c r="B16" s="48" t="s">
        <v>25</v>
      </c>
      <c r="C16" s="49">
        <f>2765.12*1.18</f>
        <v>3262.8415999999997</v>
      </c>
      <c r="D16" s="49">
        <f>2859.13*1.18</f>
        <v>3373.7734</v>
      </c>
      <c r="E16" s="51"/>
      <c r="F16" s="51"/>
      <c r="G16" s="51"/>
      <c r="H16" s="51"/>
      <c r="I16" s="50"/>
      <c r="J16" s="50"/>
      <c r="K16" s="50"/>
      <c r="L16" s="52"/>
      <c r="M16" s="59"/>
      <c r="N16" s="54"/>
      <c r="O16" s="53"/>
      <c r="P16" s="46"/>
    </row>
    <row r="17" spans="1:16" ht="27" customHeight="1" x14ac:dyDescent="0.3">
      <c r="A17" s="57"/>
      <c r="B17" s="68" t="s">
        <v>30</v>
      </c>
      <c r="C17" s="61"/>
      <c r="D17" s="61"/>
      <c r="E17" s="50"/>
      <c r="F17" s="50"/>
      <c r="G17" s="50"/>
      <c r="H17" s="50"/>
      <c r="I17" s="62"/>
      <c r="J17" s="62"/>
      <c r="K17" s="62"/>
      <c r="L17" s="69"/>
      <c r="M17" s="70"/>
      <c r="N17" s="71"/>
      <c r="O17" s="72"/>
      <c r="P17" s="46"/>
    </row>
    <row r="18" spans="1:16" ht="32.25" customHeight="1" x14ac:dyDescent="0.3">
      <c r="A18" s="73" t="s">
        <v>31</v>
      </c>
      <c r="B18" s="48" t="s">
        <v>32</v>
      </c>
      <c r="C18" s="74">
        <f>152.11*1.18</f>
        <v>179.4898</v>
      </c>
      <c r="D18" s="74">
        <f>157.27*1.18</f>
        <v>185.57859999999999</v>
      </c>
      <c r="E18" s="75">
        <f>D18/C18*100</f>
        <v>103.39228190125567</v>
      </c>
      <c r="F18" s="74">
        <f>159.89*1.18</f>
        <v>188.67019999999997</v>
      </c>
      <c r="G18" s="74">
        <f>167.4*1.18</f>
        <v>197.53199999999998</v>
      </c>
      <c r="H18" s="50">
        <f>G18/F18*100</f>
        <v>104.69697917318157</v>
      </c>
      <c r="I18" s="76"/>
      <c r="J18" s="62"/>
      <c r="K18" s="62"/>
      <c r="L18" s="69" t="s">
        <v>19</v>
      </c>
      <c r="M18" s="53" t="s">
        <v>33</v>
      </c>
      <c r="N18" s="54" t="s">
        <v>34</v>
      </c>
      <c r="O18" s="53" t="s">
        <v>22</v>
      </c>
      <c r="P18" s="67" t="s">
        <v>35</v>
      </c>
    </row>
    <row r="19" spans="1:16" ht="20.25" customHeight="1" x14ac:dyDescent="0.3">
      <c r="A19" s="57"/>
      <c r="B19" s="48" t="s">
        <v>24</v>
      </c>
      <c r="C19" s="74">
        <f>15.75*1.18</f>
        <v>18.584999999999997</v>
      </c>
      <c r="D19" s="74">
        <f>16.28*1.18</f>
        <v>19.2104</v>
      </c>
      <c r="E19" s="75"/>
      <c r="F19" s="74">
        <f>16.56*1.18</f>
        <v>19.540799999999997</v>
      </c>
      <c r="G19" s="74">
        <f>17.27*1.18</f>
        <v>20.378599999999999</v>
      </c>
      <c r="H19" s="50"/>
      <c r="I19" s="62"/>
      <c r="J19" s="62"/>
      <c r="K19" s="62"/>
      <c r="L19" s="52"/>
      <c r="M19" s="59"/>
      <c r="N19" s="54"/>
      <c r="O19" s="53"/>
      <c r="P19" s="46"/>
    </row>
    <row r="20" spans="1:16" ht="19.5" customHeight="1" x14ac:dyDescent="0.3">
      <c r="A20" s="57"/>
      <c r="B20" s="48" t="s">
        <v>25</v>
      </c>
      <c r="C20" s="74">
        <f>2386*1.18</f>
        <v>2815.48</v>
      </c>
      <c r="D20" s="74">
        <f>2467*1.18</f>
        <v>2911.06</v>
      </c>
      <c r="E20" s="75"/>
      <c r="F20" s="74">
        <f>2508*1.18</f>
        <v>2959.44</v>
      </c>
      <c r="G20" s="74">
        <f>2627*1.18</f>
        <v>3099.8599999999997</v>
      </c>
      <c r="H20" s="50"/>
      <c r="I20" s="62"/>
      <c r="J20" s="62"/>
      <c r="K20" s="62"/>
      <c r="L20" s="52"/>
      <c r="M20" s="59"/>
      <c r="N20" s="54"/>
      <c r="O20" s="53"/>
      <c r="P20" s="46"/>
    </row>
    <row r="21" spans="1:16" ht="33.75" customHeight="1" x14ac:dyDescent="0.3">
      <c r="A21" s="57"/>
      <c r="B21" s="48" t="s">
        <v>36</v>
      </c>
      <c r="C21" s="49">
        <f>157.53*1.18</f>
        <v>185.8854</v>
      </c>
      <c r="D21" s="49">
        <f>162.75*1.18</f>
        <v>192.04499999999999</v>
      </c>
      <c r="E21" s="50">
        <f>D21/C21*100</f>
        <v>103.31365454199199</v>
      </c>
      <c r="F21" s="51"/>
      <c r="G21" s="51"/>
      <c r="H21" s="51"/>
      <c r="I21" s="50"/>
      <c r="J21" s="50"/>
      <c r="K21" s="50"/>
      <c r="L21" s="69" t="s">
        <v>19</v>
      </c>
      <c r="M21" s="53" t="s">
        <v>20</v>
      </c>
      <c r="N21" s="54" t="s">
        <v>21</v>
      </c>
      <c r="O21" s="53" t="s">
        <v>22</v>
      </c>
      <c r="P21" s="56" t="s">
        <v>23</v>
      </c>
    </row>
    <row r="22" spans="1:16" ht="21" customHeight="1" x14ac:dyDescent="0.3">
      <c r="A22" s="57"/>
      <c r="B22" s="48" t="s">
        <v>24</v>
      </c>
      <c r="C22" s="49">
        <f>16.35*1.18</f>
        <v>19.292999999999999</v>
      </c>
      <c r="D22" s="49">
        <f>16.77*1.18</f>
        <v>19.788599999999999</v>
      </c>
      <c r="E22" s="51"/>
      <c r="F22" s="51"/>
      <c r="G22" s="51"/>
      <c r="H22" s="51"/>
      <c r="I22" s="50"/>
      <c r="J22" s="50"/>
      <c r="K22" s="50"/>
      <c r="L22" s="52"/>
      <c r="M22" s="59"/>
      <c r="N22" s="71"/>
      <c r="O22" s="72"/>
      <c r="P22" s="46"/>
    </row>
    <row r="23" spans="1:16" ht="21" customHeight="1" x14ac:dyDescent="0.3">
      <c r="A23" s="57"/>
      <c r="B23" s="48" t="s">
        <v>25</v>
      </c>
      <c r="C23" s="49">
        <f>2329.63*1.18</f>
        <v>2748.9634000000001</v>
      </c>
      <c r="D23" s="49">
        <f>2408.84*1.18</f>
        <v>2842.4312</v>
      </c>
      <c r="E23" s="51"/>
      <c r="F23" s="51"/>
      <c r="G23" s="51"/>
      <c r="H23" s="51"/>
      <c r="I23" s="50"/>
      <c r="J23" s="50"/>
      <c r="K23" s="50"/>
      <c r="L23" s="52"/>
      <c r="M23" s="59"/>
      <c r="N23" s="71"/>
      <c r="O23" s="72"/>
      <c r="P23" s="46"/>
    </row>
    <row r="24" spans="1:16" ht="36" customHeight="1" x14ac:dyDescent="0.3">
      <c r="A24" s="57"/>
      <c r="B24" s="48" t="s">
        <v>37</v>
      </c>
      <c r="C24" s="49">
        <f>161.7*1.18</f>
        <v>190.80599999999998</v>
      </c>
      <c r="D24" s="49">
        <f>166.5*1.18</f>
        <v>196.47</v>
      </c>
      <c r="E24" s="50">
        <f>D24/C24*100</f>
        <v>102.96846011131726</v>
      </c>
      <c r="F24" s="51"/>
      <c r="G24" s="51"/>
      <c r="H24" s="51"/>
      <c r="I24" s="50"/>
      <c r="J24" s="50"/>
      <c r="K24" s="50"/>
      <c r="L24" s="52" t="s">
        <v>19</v>
      </c>
      <c r="M24" s="53" t="s">
        <v>20</v>
      </c>
      <c r="N24" s="54" t="s">
        <v>21</v>
      </c>
      <c r="O24" s="53" t="s">
        <v>22</v>
      </c>
      <c r="P24" s="67" t="s">
        <v>23</v>
      </c>
    </row>
    <row r="25" spans="1:16" ht="21" customHeight="1" x14ac:dyDescent="0.3">
      <c r="A25" s="57"/>
      <c r="B25" s="48" t="s">
        <v>24</v>
      </c>
      <c r="C25" s="49">
        <f>20.52*1.18</f>
        <v>24.2136</v>
      </c>
      <c r="D25" s="49">
        <f>20.52*1.18</f>
        <v>24.2136</v>
      </c>
      <c r="E25" s="51"/>
      <c r="F25" s="51"/>
      <c r="G25" s="51"/>
      <c r="H25" s="51"/>
      <c r="I25" s="50"/>
      <c r="J25" s="50"/>
      <c r="K25" s="50"/>
      <c r="L25" s="52"/>
      <c r="M25" s="59"/>
      <c r="N25" s="54"/>
      <c r="O25" s="53"/>
      <c r="P25" s="46"/>
    </row>
    <row r="26" spans="1:16" ht="24.75" customHeight="1" x14ac:dyDescent="0.3">
      <c r="A26" s="57"/>
      <c r="B26" s="48" t="s">
        <v>25</v>
      </c>
      <c r="C26" s="49">
        <f>2329.63*1.18</f>
        <v>2748.9634000000001</v>
      </c>
      <c r="D26" s="49">
        <f>2408.84*1.18</f>
        <v>2842.4312</v>
      </c>
      <c r="E26" s="51"/>
      <c r="F26" s="51"/>
      <c r="G26" s="51"/>
      <c r="H26" s="51"/>
      <c r="I26" s="50"/>
      <c r="J26" s="50"/>
      <c r="K26" s="50"/>
      <c r="L26" s="52"/>
      <c r="M26" s="59"/>
      <c r="N26" s="54"/>
      <c r="O26" s="53"/>
      <c r="P26" s="46"/>
    </row>
    <row r="27" spans="1:16" ht="27" customHeight="1" x14ac:dyDescent="0.3">
      <c r="A27" s="57"/>
      <c r="B27" s="77" t="s">
        <v>38</v>
      </c>
      <c r="C27" s="78"/>
      <c r="D27" s="78"/>
      <c r="E27" s="79"/>
      <c r="F27" s="79"/>
      <c r="G27" s="79"/>
      <c r="H27" s="79"/>
      <c r="I27" s="80"/>
      <c r="J27" s="62"/>
      <c r="K27" s="62"/>
      <c r="L27" s="69"/>
      <c r="M27" s="70"/>
      <c r="N27" s="71"/>
      <c r="O27" s="72"/>
      <c r="P27" s="46"/>
    </row>
    <row r="28" spans="1:16" ht="30.75" customHeight="1" x14ac:dyDescent="0.3">
      <c r="A28" s="73" t="s">
        <v>39</v>
      </c>
      <c r="B28" s="48" t="s">
        <v>40</v>
      </c>
      <c r="C28" s="81">
        <f>139.01*1.18</f>
        <v>164.03179999999998</v>
      </c>
      <c r="D28" s="81">
        <f>144.56*1.18</f>
        <v>170.58079999999998</v>
      </c>
      <c r="E28" s="50">
        <f>D28/C28*100</f>
        <v>103.99251852384721</v>
      </c>
      <c r="F28" s="51"/>
      <c r="G28" s="51"/>
      <c r="H28" s="51"/>
      <c r="I28" s="50"/>
      <c r="J28" s="50"/>
      <c r="K28" s="50"/>
      <c r="L28" s="69" t="s">
        <v>19</v>
      </c>
      <c r="M28" s="53" t="s">
        <v>41</v>
      </c>
      <c r="N28" s="54" t="s">
        <v>41</v>
      </c>
      <c r="O28" s="53" t="s">
        <v>22</v>
      </c>
      <c r="P28" s="67" t="s">
        <v>42</v>
      </c>
    </row>
    <row r="29" spans="1:16" ht="20.25" customHeight="1" x14ac:dyDescent="0.3">
      <c r="A29" s="57"/>
      <c r="B29" s="48" t="s">
        <v>24</v>
      </c>
      <c r="C29" s="81">
        <f>19.57*1.18</f>
        <v>23.092599999999997</v>
      </c>
      <c r="D29" s="81">
        <f>20.19*1.18</f>
        <v>23.824200000000001</v>
      </c>
      <c r="E29" s="50">
        <f>D29/C29*100</f>
        <v>103.16811446090956</v>
      </c>
      <c r="F29" s="51"/>
      <c r="G29" s="51"/>
      <c r="H29" s="51"/>
      <c r="I29" s="50"/>
      <c r="J29" s="50"/>
      <c r="K29" s="50"/>
      <c r="L29" s="52"/>
      <c r="M29" s="59"/>
      <c r="N29" s="54"/>
      <c r="O29" s="53"/>
      <c r="P29" s="46"/>
    </row>
    <row r="30" spans="1:16" ht="21" customHeight="1" x14ac:dyDescent="0.3">
      <c r="A30" s="57"/>
      <c r="B30" s="48" t="s">
        <v>25</v>
      </c>
      <c r="C30" s="81">
        <f>2130*1.18</f>
        <v>2513.4</v>
      </c>
      <c r="D30" s="81">
        <f>2215*1.18</f>
        <v>2613.6999999999998</v>
      </c>
      <c r="E30" s="50">
        <f>D30/C30*100</f>
        <v>103.99061032863848</v>
      </c>
      <c r="F30" s="51"/>
      <c r="G30" s="51"/>
      <c r="H30" s="51"/>
      <c r="I30" s="50"/>
      <c r="J30" s="50"/>
      <c r="K30" s="50"/>
      <c r="L30" s="52"/>
      <c r="M30" s="59"/>
      <c r="N30" s="54"/>
      <c r="O30" s="53"/>
      <c r="P30" s="46"/>
    </row>
    <row r="31" spans="1:16" ht="30" customHeight="1" x14ac:dyDescent="0.3">
      <c r="A31" s="57"/>
      <c r="B31" s="82" t="s">
        <v>43</v>
      </c>
      <c r="C31" s="81">
        <f>128.98*1.18</f>
        <v>152.19639999999998</v>
      </c>
      <c r="D31" s="81">
        <f>133.33*1.18</f>
        <v>157.32939999999999</v>
      </c>
      <c r="E31" s="50">
        <f>D31/C31*100</f>
        <v>103.37261590944334</v>
      </c>
      <c r="F31" s="51"/>
      <c r="G31" s="51"/>
      <c r="H31" s="51"/>
      <c r="I31" s="50"/>
      <c r="J31" s="50"/>
      <c r="K31" s="50"/>
      <c r="L31" s="52" t="s">
        <v>19</v>
      </c>
      <c r="M31" s="53" t="s">
        <v>20</v>
      </c>
      <c r="N31" s="54"/>
      <c r="O31" s="53" t="s">
        <v>22</v>
      </c>
      <c r="P31" s="46"/>
    </row>
    <row r="32" spans="1:16" ht="21" customHeight="1" x14ac:dyDescent="0.3">
      <c r="A32" s="57"/>
      <c r="B32" s="82" t="s">
        <v>24</v>
      </c>
      <c r="C32" s="81">
        <f>19.57*1.18</f>
        <v>23.092599999999997</v>
      </c>
      <c r="D32" s="81">
        <f>20.19*1.18</f>
        <v>23.824200000000001</v>
      </c>
      <c r="E32" s="50"/>
      <c r="F32" s="51"/>
      <c r="G32" s="51"/>
      <c r="H32" s="51"/>
      <c r="I32" s="50"/>
      <c r="J32" s="50"/>
      <c r="K32" s="50"/>
      <c r="L32" s="52"/>
      <c r="M32" s="59"/>
      <c r="N32" s="54"/>
      <c r="O32" s="53"/>
      <c r="P32" s="46"/>
    </row>
    <row r="33" spans="1:16" ht="21" customHeight="1" x14ac:dyDescent="0.3">
      <c r="A33" s="57"/>
      <c r="B33" s="82" t="s">
        <v>25</v>
      </c>
      <c r="C33" s="81">
        <f>1805.46*1.18</f>
        <v>2130.4427999999998</v>
      </c>
      <c r="D33" s="81">
        <f>1866.85*1.18</f>
        <v>2202.8829999999998</v>
      </c>
      <c r="E33" s="50"/>
      <c r="F33" s="51"/>
      <c r="G33" s="51"/>
      <c r="H33" s="51"/>
      <c r="I33" s="50"/>
      <c r="J33" s="50"/>
      <c r="K33" s="50"/>
      <c r="L33" s="52"/>
      <c r="M33" s="59"/>
      <c r="N33" s="54"/>
      <c r="O33" s="53"/>
      <c r="P33" s="46"/>
    </row>
    <row r="34" spans="1:16" ht="27" customHeight="1" x14ac:dyDescent="0.3">
      <c r="A34" s="57"/>
      <c r="B34" s="68" t="s">
        <v>44</v>
      </c>
      <c r="C34" s="61"/>
      <c r="D34" s="61"/>
      <c r="E34" s="50"/>
      <c r="F34" s="50"/>
      <c r="G34" s="50"/>
      <c r="H34" s="50"/>
      <c r="I34" s="62"/>
      <c r="J34" s="62"/>
      <c r="K34" s="62"/>
      <c r="L34" s="69"/>
      <c r="M34" s="70"/>
      <c r="N34" s="71"/>
      <c r="O34" s="72"/>
      <c r="P34" s="46"/>
    </row>
    <row r="35" spans="1:16" ht="30.75" customHeight="1" x14ac:dyDescent="0.3">
      <c r="A35" s="73" t="s">
        <v>45</v>
      </c>
      <c r="B35" s="48" t="s">
        <v>46</v>
      </c>
      <c r="C35" s="81">
        <v>129.61000000000001</v>
      </c>
      <c r="D35" s="81">
        <v>133.75</v>
      </c>
      <c r="E35" s="50">
        <f>D35/C35*100</f>
        <v>103.19419797855103</v>
      </c>
      <c r="F35" s="81">
        <f>D35</f>
        <v>133.75</v>
      </c>
      <c r="G35" s="81">
        <v>138.38999999999999</v>
      </c>
      <c r="H35" s="50">
        <f>G35/F35*100</f>
        <v>103.46915887850466</v>
      </c>
      <c r="I35" s="81">
        <f>G35</f>
        <v>138.38999999999999</v>
      </c>
      <c r="J35" s="81">
        <v>142.72</v>
      </c>
      <c r="K35" s="50">
        <f>J35/I35*100</f>
        <v>103.12883878892984</v>
      </c>
      <c r="L35" s="69" t="s">
        <v>47</v>
      </c>
      <c r="M35" s="53" t="s">
        <v>48</v>
      </c>
      <c r="N35" s="54" t="s">
        <v>48</v>
      </c>
      <c r="O35" s="53" t="s">
        <v>22</v>
      </c>
      <c r="P35" s="56" t="s">
        <v>42</v>
      </c>
    </row>
    <row r="36" spans="1:16" ht="21" customHeight="1" x14ac:dyDescent="0.3">
      <c r="A36" s="57"/>
      <c r="B36" s="48" t="s">
        <v>24</v>
      </c>
      <c r="C36" s="81">
        <v>18</v>
      </c>
      <c r="D36" s="81">
        <v>18.7</v>
      </c>
      <c r="E36" s="83"/>
      <c r="F36" s="81">
        <f>D36</f>
        <v>18.7</v>
      </c>
      <c r="G36" s="81">
        <v>19.5</v>
      </c>
      <c r="H36" s="83"/>
      <c r="I36" s="81">
        <f>G36</f>
        <v>19.5</v>
      </c>
      <c r="J36" s="81">
        <v>20</v>
      </c>
      <c r="K36" s="50"/>
      <c r="L36" s="69"/>
      <c r="M36" s="70"/>
      <c r="N36" s="71"/>
      <c r="O36" s="72"/>
      <c r="P36" s="46"/>
    </row>
    <row r="37" spans="1:16" ht="18.75" customHeight="1" x14ac:dyDescent="0.3">
      <c r="A37" s="57"/>
      <c r="B37" s="48" t="s">
        <v>25</v>
      </c>
      <c r="C37" s="81">
        <v>1717</v>
      </c>
      <c r="D37" s="81">
        <v>1770</v>
      </c>
      <c r="E37" s="51"/>
      <c r="F37" s="81">
        <f>D37</f>
        <v>1770</v>
      </c>
      <c r="G37" s="81">
        <v>1829</v>
      </c>
      <c r="H37" s="51"/>
      <c r="I37" s="81">
        <f>G37</f>
        <v>1829</v>
      </c>
      <c r="J37" s="81">
        <v>1888</v>
      </c>
      <c r="K37" s="50"/>
      <c r="L37" s="69"/>
      <c r="M37" s="70"/>
      <c r="N37" s="71"/>
      <c r="O37" s="72"/>
      <c r="P37" s="46"/>
    </row>
    <row r="38" spans="1:16" ht="27" customHeight="1" x14ac:dyDescent="0.3">
      <c r="A38" s="57"/>
      <c r="B38" s="68" t="s">
        <v>49</v>
      </c>
      <c r="C38" s="61"/>
      <c r="D38" s="61"/>
      <c r="E38" s="50"/>
      <c r="F38" s="50"/>
      <c r="G38" s="50"/>
      <c r="H38" s="50"/>
      <c r="I38" s="62"/>
      <c r="J38" s="62"/>
      <c r="K38" s="62"/>
      <c r="L38" s="69"/>
      <c r="M38" s="70"/>
      <c r="N38" s="84"/>
      <c r="O38" s="72"/>
      <c r="P38" s="46"/>
    </row>
    <row r="39" spans="1:16" ht="30" customHeight="1" x14ac:dyDescent="0.3">
      <c r="A39" s="73" t="s">
        <v>50</v>
      </c>
      <c r="B39" s="48" t="s">
        <v>51</v>
      </c>
      <c r="C39" s="49">
        <f>138*1.18</f>
        <v>162.84</v>
      </c>
      <c r="D39" s="49">
        <f>142*1.18</f>
        <v>167.56</v>
      </c>
      <c r="E39" s="50">
        <f>D39/C39*100</f>
        <v>102.89855072463767</v>
      </c>
      <c r="F39" s="49">
        <f>137.51*1.18</f>
        <v>162.26179999999999</v>
      </c>
      <c r="G39" s="49">
        <f>140.7*1.18</f>
        <v>166.02599999999998</v>
      </c>
      <c r="H39" s="50">
        <f>G39/F39*100</f>
        <v>102.31983128499745</v>
      </c>
      <c r="I39" s="85"/>
      <c r="J39" s="85"/>
      <c r="K39" s="85"/>
      <c r="L39" s="69" t="s">
        <v>19</v>
      </c>
      <c r="M39" s="53" t="s">
        <v>52</v>
      </c>
      <c r="N39" s="86" t="s">
        <v>53</v>
      </c>
      <c r="O39" s="53" t="s">
        <v>22</v>
      </c>
      <c r="P39" s="55" t="s">
        <v>54</v>
      </c>
    </row>
    <row r="40" spans="1:16" ht="21" customHeight="1" x14ac:dyDescent="0.3">
      <c r="A40" s="57"/>
      <c r="B40" s="48" t="s">
        <v>24</v>
      </c>
      <c r="C40" s="49">
        <f>20.52*1.18</f>
        <v>24.2136</v>
      </c>
      <c r="D40" s="49">
        <f>20.52*1.18</f>
        <v>24.2136</v>
      </c>
      <c r="E40" s="87"/>
      <c r="F40" s="49">
        <f>17.53*1.18</f>
        <v>20.685400000000001</v>
      </c>
      <c r="G40" s="49">
        <f>18.31*1.18</f>
        <v>21.605799999999999</v>
      </c>
      <c r="H40" s="50"/>
      <c r="I40" s="85"/>
      <c r="J40" s="85"/>
      <c r="K40" s="85"/>
      <c r="L40" s="52"/>
      <c r="M40" s="59"/>
      <c r="N40" s="88"/>
      <c r="O40" s="89"/>
      <c r="P40" s="90"/>
    </row>
    <row r="41" spans="1:16" ht="24" customHeight="1" x14ac:dyDescent="0.3">
      <c r="A41" s="57"/>
      <c r="B41" s="48" t="s">
        <v>25</v>
      </c>
      <c r="C41" s="49">
        <f>1856*1.18</f>
        <v>2190.08</v>
      </c>
      <c r="D41" s="49">
        <f>1919.1*1.18</f>
        <v>2264.5379999999996</v>
      </c>
      <c r="E41" s="87"/>
      <c r="F41" s="49">
        <f>1895.49*1.18</f>
        <v>2236.6781999999998</v>
      </c>
      <c r="G41" s="49">
        <f>1933.45*1.18</f>
        <v>2281.471</v>
      </c>
      <c r="H41" s="50"/>
      <c r="I41" s="85"/>
      <c r="J41" s="85"/>
      <c r="K41" s="85"/>
      <c r="L41" s="52"/>
      <c r="M41" s="59"/>
      <c r="N41" s="88"/>
      <c r="O41" s="89"/>
      <c r="P41" s="46"/>
    </row>
    <row r="42" spans="1:16" ht="31.5" customHeight="1" x14ac:dyDescent="0.3">
      <c r="A42" s="73" t="s">
        <v>55</v>
      </c>
      <c r="B42" s="48" t="s">
        <v>56</v>
      </c>
      <c r="C42" s="49">
        <v>124.15</v>
      </c>
      <c r="D42" s="49">
        <v>127.52</v>
      </c>
      <c r="E42" s="50">
        <f>D42/C42*100</f>
        <v>102.71445831655255</v>
      </c>
      <c r="F42" s="51"/>
      <c r="G42" s="51"/>
      <c r="H42" s="51"/>
      <c r="I42" s="50"/>
      <c r="J42" s="50"/>
      <c r="K42" s="50"/>
      <c r="L42" s="52" t="s">
        <v>47</v>
      </c>
      <c r="M42" s="53" t="s">
        <v>41</v>
      </c>
      <c r="N42" s="91" t="s">
        <v>41</v>
      </c>
      <c r="O42" s="53" t="s">
        <v>22</v>
      </c>
      <c r="P42" s="67" t="s">
        <v>57</v>
      </c>
    </row>
    <row r="43" spans="1:16" ht="27" customHeight="1" x14ac:dyDescent="0.3">
      <c r="A43" s="57"/>
      <c r="B43" s="48" t="s">
        <v>24</v>
      </c>
      <c r="C43" s="49">
        <v>24.21</v>
      </c>
      <c r="D43" s="49">
        <v>24.21</v>
      </c>
      <c r="E43" s="51"/>
      <c r="F43" s="51"/>
      <c r="G43" s="51"/>
      <c r="H43" s="51"/>
      <c r="I43" s="50"/>
      <c r="J43" s="50"/>
      <c r="K43" s="50"/>
      <c r="L43" s="52"/>
      <c r="M43" s="59"/>
      <c r="N43" s="91"/>
      <c r="O43" s="53"/>
      <c r="P43" s="46"/>
    </row>
    <row r="44" spans="1:16" ht="27" customHeight="1" x14ac:dyDescent="0.3">
      <c r="A44" s="57"/>
      <c r="B44" s="48" t="s">
        <v>25</v>
      </c>
      <c r="C44" s="49">
        <v>1513</v>
      </c>
      <c r="D44" s="49">
        <v>1564</v>
      </c>
      <c r="E44" s="51"/>
      <c r="F44" s="51"/>
      <c r="G44" s="51"/>
      <c r="H44" s="51"/>
      <c r="I44" s="50"/>
      <c r="J44" s="50"/>
      <c r="K44" s="50"/>
      <c r="L44" s="52"/>
      <c r="M44" s="59"/>
      <c r="N44" s="91"/>
      <c r="O44" s="53"/>
      <c r="P44" s="46"/>
    </row>
    <row r="45" spans="1:16" ht="32.25" customHeight="1" x14ac:dyDescent="0.3">
      <c r="A45" s="73" t="s">
        <v>58</v>
      </c>
      <c r="B45" s="48" t="s">
        <v>59</v>
      </c>
      <c r="C45" s="49">
        <v>118.01</v>
      </c>
      <c r="D45" s="49">
        <v>124.76</v>
      </c>
      <c r="E45" s="50">
        <f>D45/C45*100</f>
        <v>105.71985424963985</v>
      </c>
      <c r="F45" s="49">
        <v>118.24</v>
      </c>
      <c r="G45" s="49">
        <v>123.05</v>
      </c>
      <c r="H45" s="92">
        <v>104.06799729364005</v>
      </c>
      <c r="I45" s="93"/>
      <c r="J45" s="93"/>
      <c r="K45" s="93"/>
      <c r="L45" s="52" t="s">
        <v>47</v>
      </c>
      <c r="M45" s="53" t="s">
        <v>33</v>
      </c>
      <c r="N45" s="91" t="s">
        <v>34</v>
      </c>
      <c r="O45" s="53" t="s">
        <v>22</v>
      </c>
      <c r="P45" s="67" t="s">
        <v>57</v>
      </c>
    </row>
    <row r="46" spans="1:16" ht="21.75" customHeight="1" x14ac:dyDescent="0.3">
      <c r="A46" s="57"/>
      <c r="B46" s="48" t="s">
        <v>24</v>
      </c>
      <c r="C46" s="49">
        <v>24.21</v>
      </c>
      <c r="D46" s="49">
        <v>24.21</v>
      </c>
      <c r="E46" s="50"/>
      <c r="F46" s="49">
        <v>20.69</v>
      </c>
      <c r="G46" s="49">
        <v>21.61</v>
      </c>
      <c r="H46" s="92"/>
      <c r="I46" s="93"/>
      <c r="J46" s="93"/>
      <c r="K46" s="93"/>
      <c r="L46" s="52"/>
      <c r="M46" s="59"/>
      <c r="N46" s="91"/>
      <c r="O46" s="53"/>
      <c r="P46" s="46"/>
    </row>
    <row r="47" spans="1:16" ht="23.25" customHeight="1" x14ac:dyDescent="0.3">
      <c r="A47" s="57"/>
      <c r="B47" s="48" t="s">
        <v>25</v>
      </c>
      <c r="C47" s="49">
        <v>1400</v>
      </c>
      <c r="D47" s="49">
        <v>1456</v>
      </c>
      <c r="E47" s="50"/>
      <c r="F47" s="49">
        <v>1456</v>
      </c>
      <c r="G47" s="49">
        <v>1514</v>
      </c>
      <c r="H47" s="92"/>
      <c r="I47" s="93"/>
      <c r="J47" s="93"/>
      <c r="K47" s="93"/>
      <c r="L47" s="52"/>
      <c r="M47" s="59"/>
      <c r="N47" s="91"/>
      <c r="O47" s="53"/>
      <c r="P47" s="46"/>
    </row>
    <row r="48" spans="1:16" ht="32.25" customHeight="1" x14ac:dyDescent="0.3">
      <c r="A48" s="73" t="s">
        <v>60</v>
      </c>
      <c r="B48" s="48" t="s">
        <v>61</v>
      </c>
      <c r="C48" s="49">
        <f>90.86*1.18</f>
        <v>107.2148</v>
      </c>
      <c r="D48" s="49">
        <f>92.79*1.18</f>
        <v>109.4922</v>
      </c>
      <c r="E48" s="50">
        <f>D48/C48*100</f>
        <v>102.12414703940127</v>
      </c>
      <c r="F48" s="49">
        <f>90.51*1.18</f>
        <v>106.8018</v>
      </c>
      <c r="G48" s="49">
        <f>96.7*1.18</f>
        <v>114.10599999999999</v>
      </c>
      <c r="H48" s="50">
        <v>106.83902331234118</v>
      </c>
      <c r="I48" s="94"/>
      <c r="J48" s="94"/>
      <c r="K48" s="94"/>
      <c r="L48" s="52" t="s">
        <v>19</v>
      </c>
      <c r="M48" s="53" t="s">
        <v>33</v>
      </c>
      <c r="N48" s="54" t="s">
        <v>62</v>
      </c>
      <c r="O48" s="53" t="s">
        <v>22</v>
      </c>
      <c r="P48" s="67" t="s">
        <v>63</v>
      </c>
    </row>
    <row r="49" spans="1:16" ht="24" customHeight="1" x14ac:dyDescent="0.3">
      <c r="A49" s="57"/>
      <c r="B49" s="48" t="s">
        <v>24</v>
      </c>
      <c r="C49" s="49">
        <f>20.52*1.18</f>
        <v>24.2136</v>
      </c>
      <c r="D49" s="49">
        <f>20.52*1.18</f>
        <v>24.2136</v>
      </c>
      <c r="E49" s="61"/>
      <c r="F49" s="49">
        <f>18.24*1.18</f>
        <v>21.523199999999996</v>
      </c>
      <c r="G49" s="49">
        <f>19.52*1.18</f>
        <v>23.0336</v>
      </c>
      <c r="H49" s="61"/>
      <c r="I49" s="95"/>
      <c r="J49" s="95"/>
      <c r="K49" s="95"/>
      <c r="L49" s="52"/>
      <c r="M49" s="59"/>
      <c r="N49" s="54"/>
      <c r="O49" s="53"/>
      <c r="P49" s="46"/>
    </row>
    <row r="50" spans="1:16" ht="21.75" customHeight="1" x14ac:dyDescent="0.3">
      <c r="A50" s="57"/>
      <c r="B50" s="48" t="s">
        <v>25</v>
      </c>
      <c r="C50" s="49">
        <f>1563*1.18</f>
        <v>1844.34</v>
      </c>
      <c r="D50" s="49">
        <f>1606*1.18</f>
        <v>1895.08</v>
      </c>
      <c r="E50" s="61"/>
      <c r="F50" s="49">
        <f>1606*1.18</f>
        <v>1895.08</v>
      </c>
      <c r="G50" s="49">
        <f>1715*1.18</f>
        <v>2023.6999999999998</v>
      </c>
      <c r="H50" s="61"/>
      <c r="I50" s="95"/>
      <c r="J50" s="95"/>
      <c r="K50" s="95"/>
      <c r="L50" s="52"/>
      <c r="M50" s="59"/>
      <c r="N50" s="54"/>
      <c r="O50" s="53"/>
      <c r="P50" s="46"/>
    </row>
    <row r="51" spans="1:16" ht="33" customHeight="1" x14ac:dyDescent="0.3">
      <c r="A51" s="60"/>
      <c r="B51" s="48" t="s">
        <v>64</v>
      </c>
      <c r="C51" s="49">
        <f>123.12*1.18</f>
        <v>145.2816</v>
      </c>
      <c r="D51" s="49">
        <f>126.61*1.18</f>
        <v>149.3998</v>
      </c>
      <c r="E51" s="51"/>
      <c r="F51" s="51"/>
      <c r="G51" s="51"/>
      <c r="H51" s="51"/>
      <c r="I51" s="50"/>
      <c r="J51" s="50"/>
      <c r="K51" s="50"/>
      <c r="L51" s="52" t="s">
        <v>19</v>
      </c>
      <c r="M51" s="53" t="s">
        <v>20</v>
      </c>
      <c r="N51" s="54" t="s">
        <v>21</v>
      </c>
      <c r="O51" s="53" t="s">
        <v>22</v>
      </c>
      <c r="P51" s="67" t="s">
        <v>23</v>
      </c>
    </row>
    <row r="52" spans="1:16" ht="21" customHeight="1" x14ac:dyDescent="0.3">
      <c r="A52" s="57"/>
      <c r="B52" s="48" t="s">
        <v>24</v>
      </c>
      <c r="C52" s="49">
        <f>20.52*1.18</f>
        <v>24.2136</v>
      </c>
      <c r="D52" s="49">
        <f>20.52*1.18</f>
        <v>24.2136</v>
      </c>
      <c r="E52" s="51"/>
      <c r="F52" s="51"/>
      <c r="G52" s="51"/>
      <c r="H52" s="51"/>
      <c r="I52" s="50"/>
      <c r="J52" s="50"/>
      <c r="K52" s="50"/>
      <c r="L52" s="52"/>
      <c r="M52" s="59"/>
      <c r="N52" s="54"/>
      <c r="O52" s="53"/>
      <c r="P52" s="46"/>
    </row>
    <row r="53" spans="1:16" ht="21.75" customHeight="1" x14ac:dyDescent="0.3">
      <c r="A53" s="57"/>
      <c r="B53" s="48" t="s">
        <v>25</v>
      </c>
      <c r="C53" s="49">
        <f>1693*1.18</f>
        <v>1997.7399999999998</v>
      </c>
      <c r="D53" s="49">
        <f>1750.56*1.18</f>
        <v>2065.6607999999997</v>
      </c>
      <c r="E53" s="51"/>
      <c r="F53" s="51"/>
      <c r="G53" s="51"/>
      <c r="H53" s="51"/>
      <c r="I53" s="50"/>
      <c r="J53" s="50"/>
      <c r="K53" s="50"/>
      <c r="L53" s="96"/>
      <c r="M53" s="97"/>
      <c r="N53" s="54"/>
      <c r="O53" s="53"/>
      <c r="P53" s="46"/>
    </row>
    <row r="54" spans="1:16" ht="27" customHeight="1" x14ac:dyDescent="0.3">
      <c r="A54" s="57"/>
      <c r="B54" s="68" t="s">
        <v>65</v>
      </c>
      <c r="C54" s="61"/>
      <c r="D54" s="61"/>
      <c r="E54" s="50"/>
      <c r="F54" s="50"/>
      <c r="G54" s="50"/>
      <c r="H54" s="50"/>
      <c r="I54" s="50"/>
      <c r="J54" s="50"/>
      <c r="K54" s="50"/>
      <c r="L54" s="52"/>
      <c r="M54" s="59"/>
      <c r="N54" s="54"/>
      <c r="O54" s="53"/>
      <c r="P54" s="46"/>
    </row>
    <row r="55" spans="1:16" ht="30.75" customHeight="1" x14ac:dyDescent="0.3">
      <c r="A55" s="73" t="s">
        <v>66</v>
      </c>
      <c r="B55" s="48" t="s">
        <v>111</v>
      </c>
      <c r="C55" s="98">
        <v>91.23</v>
      </c>
      <c r="D55" s="98">
        <f>94.89</f>
        <v>94.89</v>
      </c>
      <c r="E55" s="50">
        <f>D55/C55*100</f>
        <v>104.01183821111476</v>
      </c>
      <c r="F55" s="51"/>
      <c r="G55" s="51"/>
      <c r="H55" s="51"/>
      <c r="I55" s="50"/>
      <c r="J55" s="50"/>
      <c r="K55" s="50"/>
      <c r="L55" s="52" t="s">
        <v>47</v>
      </c>
      <c r="M55" s="53" t="s">
        <v>67</v>
      </c>
      <c r="N55" s="54" t="s">
        <v>67</v>
      </c>
      <c r="O55" s="53" t="s">
        <v>68</v>
      </c>
      <c r="P55" s="99" t="s">
        <v>68</v>
      </c>
    </row>
    <row r="56" spans="1:16" ht="21" customHeight="1" x14ac:dyDescent="0.3">
      <c r="A56" s="57"/>
      <c r="B56" s="48" t="s">
        <v>24</v>
      </c>
      <c r="C56" s="98">
        <v>14.97</v>
      </c>
      <c r="D56" s="98">
        <v>15.57</v>
      </c>
      <c r="E56" s="50"/>
      <c r="F56" s="51"/>
      <c r="G56" s="51"/>
      <c r="H56" s="51"/>
      <c r="I56" s="50"/>
      <c r="J56" s="50"/>
      <c r="K56" s="50"/>
      <c r="L56" s="52"/>
      <c r="M56" s="59"/>
      <c r="N56" s="54"/>
      <c r="O56" s="53"/>
      <c r="P56" s="46"/>
    </row>
    <row r="57" spans="1:16" ht="21" customHeight="1" x14ac:dyDescent="0.3">
      <c r="A57" s="57"/>
      <c r="B57" s="48" t="s">
        <v>25</v>
      </c>
      <c r="C57" s="98">
        <v>1371</v>
      </c>
      <c r="D57" s="98">
        <v>1426</v>
      </c>
      <c r="E57" s="50"/>
      <c r="F57" s="51"/>
      <c r="G57" s="51"/>
      <c r="H57" s="51"/>
      <c r="I57" s="50"/>
      <c r="J57" s="50"/>
      <c r="K57" s="50"/>
      <c r="L57" s="52"/>
      <c r="M57" s="59"/>
      <c r="N57" s="54"/>
      <c r="O57" s="53"/>
      <c r="P57" s="46"/>
    </row>
    <row r="58" spans="1:16" ht="27" customHeight="1" x14ac:dyDescent="0.3">
      <c r="A58" s="57"/>
      <c r="B58" s="68" t="s">
        <v>69</v>
      </c>
      <c r="C58" s="61"/>
      <c r="D58" s="61"/>
      <c r="E58" s="50"/>
      <c r="F58" s="50"/>
      <c r="G58" s="50"/>
      <c r="H58" s="50"/>
      <c r="I58" s="62"/>
      <c r="J58" s="62"/>
      <c r="K58" s="62"/>
      <c r="L58" s="69"/>
      <c r="M58" s="70"/>
      <c r="N58" s="71"/>
      <c r="O58" s="72"/>
      <c r="P58" s="46"/>
    </row>
    <row r="59" spans="1:16" ht="29.25" customHeight="1" x14ac:dyDescent="0.3">
      <c r="A59" s="73" t="s">
        <v>70</v>
      </c>
      <c r="B59" s="48" t="s">
        <v>71</v>
      </c>
      <c r="C59" s="98">
        <v>135.16</v>
      </c>
      <c r="D59" s="98">
        <v>140.66</v>
      </c>
      <c r="E59" s="61">
        <f>D59/C59*100</f>
        <v>104.06925125776858</v>
      </c>
      <c r="F59" s="100"/>
      <c r="G59" s="100"/>
      <c r="H59" s="100"/>
      <c r="I59" s="69"/>
      <c r="J59" s="69"/>
      <c r="K59" s="69"/>
      <c r="L59" s="52" t="s">
        <v>47</v>
      </c>
      <c r="M59" s="53" t="s">
        <v>72</v>
      </c>
      <c r="N59" s="54" t="s">
        <v>73</v>
      </c>
      <c r="O59" s="53" t="s">
        <v>74</v>
      </c>
      <c r="P59" s="67" t="s">
        <v>75</v>
      </c>
    </row>
    <row r="60" spans="1:16" ht="23.25" customHeight="1" x14ac:dyDescent="0.3">
      <c r="A60" s="57"/>
      <c r="B60" s="48" t="s">
        <v>24</v>
      </c>
      <c r="C60" s="98">
        <v>17.350000000000001</v>
      </c>
      <c r="D60" s="98">
        <v>18.11</v>
      </c>
      <c r="E60" s="50"/>
      <c r="F60" s="100"/>
      <c r="G60" s="100"/>
      <c r="H60" s="100"/>
      <c r="I60" s="69"/>
      <c r="J60" s="69"/>
      <c r="K60" s="69"/>
      <c r="L60" s="52"/>
      <c r="M60" s="59"/>
      <c r="N60" s="54"/>
      <c r="O60" s="53"/>
      <c r="P60" s="46"/>
    </row>
    <row r="61" spans="1:16" ht="23.25" customHeight="1" x14ac:dyDescent="0.3">
      <c r="A61" s="57"/>
      <c r="B61" s="48" t="s">
        <v>25</v>
      </c>
      <c r="C61" s="98">
        <v>2135</v>
      </c>
      <c r="D61" s="98">
        <v>2221</v>
      </c>
      <c r="E61" s="100"/>
      <c r="F61" s="100"/>
      <c r="G61" s="100"/>
      <c r="H61" s="100"/>
      <c r="I61" s="69"/>
      <c r="J61" s="69"/>
      <c r="K61" s="69"/>
      <c r="L61" s="52"/>
      <c r="M61" s="59"/>
      <c r="N61" s="54"/>
      <c r="O61" s="53"/>
      <c r="P61" s="46"/>
    </row>
    <row r="62" spans="1:16" ht="31.5" customHeight="1" x14ac:dyDescent="0.3">
      <c r="A62" s="73" t="s">
        <v>76</v>
      </c>
      <c r="B62" s="48" t="s">
        <v>77</v>
      </c>
      <c r="C62" s="98">
        <v>138.51</v>
      </c>
      <c r="D62" s="98">
        <v>144.57</v>
      </c>
      <c r="E62" s="50">
        <f>D62/C62*100</f>
        <v>104.37513536928742</v>
      </c>
      <c r="F62" s="49">
        <v>150.47</v>
      </c>
      <c r="G62" s="49">
        <v>161.41</v>
      </c>
      <c r="H62" s="50">
        <f>G62/F62*100</f>
        <v>107.2705522695554</v>
      </c>
      <c r="I62" s="101"/>
      <c r="J62" s="101"/>
      <c r="K62" s="101"/>
      <c r="L62" s="69" t="s">
        <v>47</v>
      </c>
      <c r="M62" s="53" t="s">
        <v>33</v>
      </c>
      <c r="N62" s="54" t="s">
        <v>34</v>
      </c>
      <c r="O62" s="53" t="s">
        <v>22</v>
      </c>
      <c r="P62" s="67" t="s">
        <v>57</v>
      </c>
    </row>
    <row r="63" spans="1:16" ht="20.25" customHeight="1" x14ac:dyDescent="0.3">
      <c r="A63" s="57"/>
      <c r="B63" s="48" t="s">
        <v>24</v>
      </c>
      <c r="C63" s="98">
        <v>17.350000000000001</v>
      </c>
      <c r="D63" s="98">
        <v>18.11</v>
      </c>
      <c r="E63" s="69"/>
      <c r="F63" s="49">
        <v>18.600000000000001</v>
      </c>
      <c r="G63" s="49">
        <v>19.52</v>
      </c>
      <c r="H63" s="92"/>
      <c r="I63" s="93"/>
      <c r="J63" s="93"/>
      <c r="K63" s="93"/>
      <c r="L63" s="52"/>
      <c r="M63" s="59"/>
      <c r="N63" s="54"/>
      <c r="O63" s="53"/>
      <c r="P63" s="46"/>
    </row>
    <row r="64" spans="1:16" ht="21.75" customHeight="1" x14ac:dyDescent="0.3">
      <c r="A64" s="57"/>
      <c r="B64" s="48" t="s">
        <v>25</v>
      </c>
      <c r="C64" s="98">
        <v>2146</v>
      </c>
      <c r="D64" s="98">
        <v>2219</v>
      </c>
      <c r="E64" s="69"/>
      <c r="F64" s="49">
        <v>2235</v>
      </c>
      <c r="G64" s="49">
        <v>2326</v>
      </c>
      <c r="H64" s="92"/>
      <c r="I64" s="93"/>
      <c r="J64" s="93"/>
      <c r="K64" s="93"/>
      <c r="L64" s="52"/>
      <c r="M64" s="59"/>
      <c r="N64" s="54"/>
      <c r="O64" s="53"/>
      <c r="P64" s="46"/>
    </row>
    <row r="65" spans="1:16" ht="33.75" customHeight="1" x14ac:dyDescent="0.3">
      <c r="A65" s="57"/>
      <c r="B65" s="48" t="s">
        <v>64</v>
      </c>
      <c r="C65" s="98">
        <f>124.6*1.18</f>
        <v>147.02799999999999</v>
      </c>
      <c r="D65" s="98">
        <f>128.77*1.18</f>
        <v>151.9486</v>
      </c>
      <c r="E65" s="50">
        <f>D65/C65*100</f>
        <v>103.34670947030497</v>
      </c>
      <c r="F65" s="51"/>
      <c r="G65" s="51"/>
      <c r="H65" s="51"/>
      <c r="I65" s="50"/>
      <c r="J65" s="50"/>
      <c r="K65" s="50"/>
      <c r="L65" s="52" t="s">
        <v>19</v>
      </c>
      <c r="M65" s="53" t="s">
        <v>20</v>
      </c>
      <c r="N65" s="54" t="s">
        <v>21</v>
      </c>
      <c r="O65" s="53" t="s">
        <v>22</v>
      </c>
      <c r="P65" s="67" t="s">
        <v>23</v>
      </c>
    </row>
    <row r="66" spans="1:16" ht="23.25" customHeight="1" x14ac:dyDescent="0.3">
      <c r="A66" s="57"/>
      <c r="B66" s="48" t="s">
        <v>24</v>
      </c>
      <c r="C66" s="98">
        <f>15.19*1.18</f>
        <v>17.924199999999999</v>
      </c>
      <c r="D66" s="98">
        <f>15.63*1.18</f>
        <v>18.4434</v>
      </c>
      <c r="E66" s="51"/>
      <c r="F66" s="51"/>
      <c r="G66" s="51"/>
      <c r="H66" s="51"/>
      <c r="I66" s="50"/>
      <c r="J66" s="50"/>
      <c r="K66" s="50"/>
      <c r="L66" s="52"/>
      <c r="M66" s="59"/>
      <c r="N66" s="54"/>
      <c r="O66" s="53"/>
      <c r="P66" s="46"/>
    </row>
    <row r="67" spans="1:16" ht="23.25" customHeight="1" x14ac:dyDescent="0.3">
      <c r="A67" s="57"/>
      <c r="B67" s="48" t="s">
        <v>25</v>
      </c>
      <c r="C67" s="98">
        <f>1805.46*1.18</f>
        <v>2130.4427999999998</v>
      </c>
      <c r="D67" s="98">
        <f>1866.85*1.18</f>
        <v>2202.8829999999998</v>
      </c>
      <c r="E67" s="51"/>
      <c r="F67" s="51"/>
      <c r="G67" s="51"/>
      <c r="H67" s="51"/>
      <c r="I67" s="50"/>
      <c r="J67" s="50"/>
      <c r="K67" s="50"/>
      <c r="L67" s="52"/>
      <c r="M67" s="59"/>
      <c r="N67" s="54"/>
      <c r="O67" s="53"/>
      <c r="P67" s="46"/>
    </row>
    <row r="68" spans="1:16" ht="27" customHeight="1" x14ac:dyDescent="0.3">
      <c r="A68" s="57"/>
      <c r="B68" s="68" t="s">
        <v>78</v>
      </c>
      <c r="C68" s="61"/>
      <c r="D68" s="61"/>
      <c r="E68" s="50"/>
      <c r="F68" s="50"/>
      <c r="G68" s="50"/>
      <c r="H68" s="50"/>
      <c r="I68" s="62"/>
      <c r="J68" s="62"/>
      <c r="K68" s="62"/>
      <c r="L68" s="52"/>
      <c r="M68" s="59"/>
      <c r="N68" s="54"/>
      <c r="O68" s="53"/>
      <c r="P68" s="46"/>
    </row>
    <row r="69" spans="1:16" ht="27" customHeight="1" x14ac:dyDescent="0.3">
      <c r="A69" s="73" t="s">
        <v>79</v>
      </c>
      <c r="B69" s="48" t="s">
        <v>80</v>
      </c>
      <c r="C69" s="49">
        <v>177.38</v>
      </c>
      <c r="D69" s="49">
        <v>182.79</v>
      </c>
      <c r="E69" s="50">
        <f>D69/C69*100</f>
        <v>103.04994926147255</v>
      </c>
      <c r="F69" s="51"/>
      <c r="G69" s="51"/>
      <c r="H69" s="51"/>
      <c r="I69" s="50"/>
      <c r="J69" s="50"/>
      <c r="K69" s="50"/>
      <c r="L69" s="52" t="s">
        <v>47</v>
      </c>
      <c r="M69" s="53" t="s">
        <v>41</v>
      </c>
      <c r="N69" s="54" t="s">
        <v>81</v>
      </c>
      <c r="O69" s="53" t="s">
        <v>22</v>
      </c>
      <c r="P69" s="67" t="s">
        <v>82</v>
      </c>
    </row>
    <row r="70" spans="1:16" ht="27" customHeight="1" x14ac:dyDescent="0.3">
      <c r="A70" s="57"/>
      <c r="B70" s="48" t="s">
        <v>24</v>
      </c>
      <c r="C70" s="49">
        <v>17.5</v>
      </c>
      <c r="D70" s="49">
        <v>17.5</v>
      </c>
      <c r="E70" s="51"/>
      <c r="F70" s="51"/>
      <c r="G70" s="51"/>
      <c r="H70" s="51"/>
      <c r="I70" s="50"/>
      <c r="J70" s="50"/>
      <c r="K70" s="50"/>
      <c r="L70" s="52"/>
      <c r="M70" s="59"/>
      <c r="N70" s="54"/>
      <c r="O70" s="53"/>
      <c r="P70" s="46"/>
    </row>
    <row r="71" spans="1:16" ht="27" customHeight="1" x14ac:dyDescent="0.3">
      <c r="A71" s="57"/>
      <c r="B71" s="48" t="s">
        <v>25</v>
      </c>
      <c r="C71" s="49">
        <v>2985</v>
      </c>
      <c r="D71" s="49">
        <v>3086</v>
      </c>
      <c r="E71" s="51"/>
      <c r="F71" s="51"/>
      <c r="G71" s="51"/>
      <c r="H71" s="51"/>
      <c r="I71" s="50"/>
      <c r="J71" s="50"/>
      <c r="K71" s="50"/>
      <c r="L71" s="52"/>
      <c r="M71" s="59"/>
      <c r="N71" s="54"/>
      <c r="O71" s="53"/>
      <c r="P71" s="46"/>
    </row>
    <row r="72" spans="1:16" ht="27" customHeight="1" x14ac:dyDescent="0.3">
      <c r="A72" s="57"/>
      <c r="B72" s="68" t="s">
        <v>83</v>
      </c>
      <c r="C72" s="61"/>
      <c r="D72" s="61"/>
      <c r="E72" s="50"/>
      <c r="F72" s="50"/>
      <c r="G72" s="50"/>
      <c r="H72" s="50"/>
      <c r="I72" s="62"/>
      <c r="J72" s="62"/>
      <c r="K72" s="62"/>
      <c r="L72" s="69"/>
      <c r="M72" s="70"/>
      <c r="N72" s="71"/>
      <c r="O72" s="72"/>
      <c r="P72" s="46"/>
    </row>
    <row r="73" spans="1:16" ht="33.75" customHeight="1" x14ac:dyDescent="0.3">
      <c r="A73" s="73" t="s">
        <v>84</v>
      </c>
      <c r="B73" s="48" t="s">
        <v>85</v>
      </c>
      <c r="C73" s="49">
        <v>127.05</v>
      </c>
      <c r="D73" s="49">
        <v>136.16</v>
      </c>
      <c r="E73" s="50">
        <f>D73/C73*100</f>
        <v>107.17040535222353</v>
      </c>
      <c r="F73" s="51"/>
      <c r="G73" s="51"/>
      <c r="H73" s="51"/>
      <c r="I73" s="50"/>
      <c r="J73" s="50"/>
      <c r="K73" s="50"/>
      <c r="L73" s="52" t="s">
        <v>47</v>
      </c>
      <c r="M73" s="53" t="s">
        <v>86</v>
      </c>
      <c r="N73" s="54" t="s">
        <v>86</v>
      </c>
      <c r="O73" s="53" t="s">
        <v>22</v>
      </c>
      <c r="P73" s="67" t="s">
        <v>82</v>
      </c>
    </row>
    <row r="74" spans="1:16" ht="21.75" customHeight="1" x14ac:dyDescent="0.3">
      <c r="A74" s="57"/>
      <c r="B74" s="48" t="s">
        <v>24</v>
      </c>
      <c r="C74" s="49">
        <v>20.97</v>
      </c>
      <c r="D74" s="49">
        <v>21.22</v>
      </c>
      <c r="E74" s="51"/>
      <c r="F74" s="51"/>
      <c r="G74" s="51"/>
      <c r="H74" s="51"/>
      <c r="I74" s="50"/>
      <c r="J74" s="50"/>
      <c r="K74" s="50"/>
      <c r="L74" s="52"/>
      <c r="M74" s="59"/>
      <c r="N74" s="54"/>
      <c r="O74" s="53"/>
      <c r="P74" s="46"/>
    </row>
    <row r="75" spans="1:16" ht="23.25" customHeight="1" x14ac:dyDescent="0.3">
      <c r="A75" s="57"/>
      <c r="B75" s="48" t="s">
        <v>25</v>
      </c>
      <c r="C75" s="49">
        <v>1932</v>
      </c>
      <c r="D75" s="49">
        <v>1998</v>
      </c>
      <c r="E75" s="51"/>
      <c r="F75" s="51"/>
      <c r="G75" s="51"/>
      <c r="H75" s="51"/>
      <c r="I75" s="50"/>
      <c r="J75" s="50"/>
      <c r="K75" s="50"/>
      <c r="L75" s="52"/>
      <c r="M75" s="59"/>
      <c r="N75" s="54"/>
      <c r="O75" s="53"/>
      <c r="P75" s="46"/>
    </row>
    <row r="76" spans="1:16" ht="27" customHeight="1" x14ac:dyDescent="0.3">
      <c r="A76" s="57"/>
      <c r="B76" s="68" t="s">
        <v>87</v>
      </c>
      <c r="C76" s="61"/>
      <c r="D76" s="61"/>
      <c r="E76" s="61"/>
      <c r="F76" s="61"/>
      <c r="G76" s="50"/>
      <c r="H76" s="50"/>
      <c r="I76" s="62"/>
      <c r="J76" s="62"/>
      <c r="K76" s="62"/>
      <c r="L76" s="69"/>
      <c r="M76" s="70"/>
      <c r="N76" s="71"/>
      <c r="O76" s="72"/>
      <c r="P76" s="46"/>
    </row>
    <row r="77" spans="1:16" ht="30.75" customHeight="1" x14ac:dyDescent="0.3">
      <c r="A77" s="73" t="s">
        <v>88</v>
      </c>
      <c r="B77" s="48" t="s">
        <v>89</v>
      </c>
      <c r="C77" s="49">
        <v>144.56</v>
      </c>
      <c r="D77" s="49">
        <v>153.84</v>
      </c>
      <c r="E77" s="50">
        <f>D77/C77*100</f>
        <v>106.41947980077478</v>
      </c>
      <c r="F77" s="49">
        <v>132.96</v>
      </c>
      <c r="G77" s="49">
        <v>137.61000000000001</v>
      </c>
      <c r="H77" s="50">
        <f>G77/F77*100</f>
        <v>103.49729241877257</v>
      </c>
      <c r="I77" s="102"/>
      <c r="J77" s="102"/>
      <c r="K77" s="102"/>
      <c r="L77" s="103" t="s">
        <v>19</v>
      </c>
      <c r="M77" s="53" t="s">
        <v>33</v>
      </c>
      <c r="N77" s="54" t="s">
        <v>90</v>
      </c>
      <c r="O77" s="53" t="s">
        <v>22</v>
      </c>
      <c r="P77" s="56" t="s">
        <v>91</v>
      </c>
    </row>
    <row r="78" spans="1:16" ht="18.75" customHeight="1" x14ac:dyDescent="0.3">
      <c r="A78" s="57"/>
      <c r="B78" s="48" t="s">
        <v>24</v>
      </c>
      <c r="C78" s="49">
        <v>14.52</v>
      </c>
      <c r="D78" s="49">
        <v>15.01</v>
      </c>
      <c r="E78" s="50"/>
      <c r="F78" s="49">
        <v>15.31</v>
      </c>
      <c r="G78" s="49">
        <v>16.07</v>
      </c>
      <c r="H78" s="50"/>
      <c r="I78" s="95"/>
      <c r="J78" s="95"/>
      <c r="K78" s="95"/>
      <c r="L78" s="52"/>
      <c r="M78" s="104"/>
      <c r="N78" s="105"/>
      <c r="O78" s="106"/>
      <c r="P78" s="46"/>
    </row>
    <row r="79" spans="1:16" ht="21.75" customHeight="1" x14ac:dyDescent="0.3">
      <c r="A79" s="57"/>
      <c r="B79" s="48" t="s">
        <v>25</v>
      </c>
      <c r="C79" s="49">
        <f>1930*1.18</f>
        <v>2277.4</v>
      </c>
      <c r="D79" s="49">
        <f>1994*1.18</f>
        <v>2352.92</v>
      </c>
      <c r="E79" s="50"/>
      <c r="F79" s="49">
        <v>1994</v>
      </c>
      <c r="G79" s="49">
        <v>2060</v>
      </c>
      <c r="H79" s="50"/>
      <c r="I79" s="95"/>
      <c r="J79" s="95"/>
      <c r="K79" s="95"/>
      <c r="L79" s="52"/>
      <c r="M79" s="59"/>
      <c r="N79" s="54"/>
      <c r="O79" s="53"/>
      <c r="P79" s="46"/>
    </row>
    <row r="80" spans="1:16" ht="27.75" customHeight="1" x14ac:dyDescent="0.3">
      <c r="A80" s="57"/>
      <c r="B80" s="48" t="s">
        <v>92</v>
      </c>
      <c r="C80" s="49">
        <f>110.55*1.18</f>
        <v>130.44899999999998</v>
      </c>
      <c r="D80" s="49">
        <f>114.31*1.18</f>
        <v>134.88579999999999</v>
      </c>
      <c r="E80" s="61">
        <f>D80/C80*100</f>
        <v>103.40117593848936</v>
      </c>
      <c r="F80" s="107"/>
      <c r="G80" s="107"/>
      <c r="H80" s="50"/>
      <c r="I80" s="62"/>
      <c r="J80" s="62"/>
      <c r="K80" s="62"/>
      <c r="L80" s="52" t="s">
        <v>19</v>
      </c>
      <c r="M80" s="53" t="s">
        <v>72</v>
      </c>
      <c r="N80" s="54" t="s">
        <v>93</v>
      </c>
      <c r="O80" s="53" t="s">
        <v>94</v>
      </c>
      <c r="P80" s="67" t="s">
        <v>95</v>
      </c>
    </row>
    <row r="81" spans="1:16" ht="27" customHeight="1" x14ac:dyDescent="0.3">
      <c r="A81" s="57"/>
      <c r="B81" s="48" t="s">
        <v>24</v>
      </c>
      <c r="C81" s="49">
        <f>9.24*1.18</f>
        <v>10.9032</v>
      </c>
      <c r="D81" s="49">
        <f>9.56*1.18</f>
        <v>11.280799999999999</v>
      </c>
      <c r="E81" s="83"/>
      <c r="F81" s="107"/>
      <c r="G81" s="107"/>
      <c r="H81" s="50"/>
      <c r="I81" s="62"/>
      <c r="J81" s="62"/>
      <c r="K81" s="62"/>
      <c r="L81" s="52"/>
      <c r="M81" s="59"/>
      <c r="N81" s="54"/>
      <c r="O81" s="53"/>
      <c r="P81" s="67"/>
    </row>
    <row r="82" spans="1:16" ht="27" customHeight="1" x14ac:dyDescent="0.3">
      <c r="A82" s="57"/>
      <c r="B82" s="48" t="s">
        <v>25</v>
      </c>
      <c r="C82" s="49">
        <f>1939*1.18</f>
        <v>2288.02</v>
      </c>
      <c r="D82" s="49">
        <f>2005*1.18</f>
        <v>2365.9</v>
      </c>
      <c r="E82" s="83"/>
      <c r="F82" s="107"/>
      <c r="G82" s="107"/>
      <c r="H82" s="50"/>
      <c r="I82" s="62"/>
      <c r="J82" s="62"/>
      <c r="K82" s="62"/>
      <c r="L82" s="52"/>
      <c r="M82" s="59"/>
      <c r="N82" s="54"/>
      <c r="O82" s="53"/>
      <c r="P82" s="67"/>
    </row>
    <row r="83" spans="1:16" ht="27" customHeight="1" x14ac:dyDescent="0.3">
      <c r="A83" s="57"/>
      <c r="B83" s="68" t="s">
        <v>96</v>
      </c>
      <c r="C83" s="61"/>
      <c r="D83" s="61"/>
      <c r="E83" s="50"/>
      <c r="F83" s="50"/>
      <c r="G83" s="50"/>
      <c r="H83" s="50"/>
      <c r="I83" s="62"/>
      <c r="J83" s="62"/>
      <c r="K83" s="62"/>
      <c r="L83" s="69"/>
      <c r="M83" s="70"/>
      <c r="N83" s="71"/>
      <c r="O83" s="72"/>
      <c r="P83" s="46"/>
    </row>
    <row r="84" spans="1:16" ht="27" customHeight="1" x14ac:dyDescent="0.3">
      <c r="A84" s="57"/>
      <c r="B84" s="68" t="s">
        <v>97</v>
      </c>
      <c r="C84" s="61"/>
      <c r="D84" s="61"/>
      <c r="E84" s="50"/>
      <c r="F84" s="50"/>
      <c r="G84" s="50"/>
      <c r="H84" s="50"/>
      <c r="I84" s="62"/>
      <c r="J84" s="62"/>
      <c r="K84" s="62"/>
      <c r="L84" s="69"/>
      <c r="M84" s="108"/>
      <c r="N84" s="109"/>
      <c r="O84" s="72"/>
      <c r="P84" s="46"/>
    </row>
    <row r="85" spans="1:16" ht="27" customHeight="1" x14ac:dyDescent="0.3">
      <c r="A85" s="73" t="s">
        <v>98</v>
      </c>
      <c r="B85" s="48" t="s">
        <v>99</v>
      </c>
      <c r="C85" s="98">
        <f>116.7*1.18</f>
        <v>137.70599999999999</v>
      </c>
      <c r="D85" s="98">
        <f>125.54*1.18</f>
        <v>148.13720000000001</v>
      </c>
      <c r="E85" s="50">
        <f>D85/C85*100</f>
        <v>107.5749785775493</v>
      </c>
      <c r="F85" s="98">
        <v>125.55</v>
      </c>
      <c r="G85" s="98">
        <v>130.55000000000001</v>
      </c>
      <c r="H85" s="50">
        <f>G85/F85*100</f>
        <v>103.98247710075668</v>
      </c>
      <c r="I85" s="93"/>
      <c r="J85" s="93"/>
      <c r="K85" s="93"/>
      <c r="L85" s="52" t="s">
        <v>19</v>
      </c>
      <c r="M85" s="110" t="s">
        <v>33</v>
      </c>
      <c r="N85" s="111" t="s">
        <v>100</v>
      </c>
      <c r="O85" s="53" t="s">
        <v>22</v>
      </c>
      <c r="P85" s="56" t="s">
        <v>82</v>
      </c>
    </row>
    <row r="86" spans="1:16" ht="27" customHeight="1" x14ac:dyDescent="0.3">
      <c r="A86" s="57"/>
      <c r="B86" s="48" t="s">
        <v>24</v>
      </c>
      <c r="C86" s="98">
        <f>16.22*1.18</f>
        <v>19.139599999999998</v>
      </c>
      <c r="D86" s="98">
        <f>17.04*1.18</f>
        <v>20.107199999999999</v>
      </c>
      <c r="E86" s="61"/>
      <c r="F86" s="98">
        <v>17.05</v>
      </c>
      <c r="G86" s="98">
        <v>17.8</v>
      </c>
      <c r="H86" s="92"/>
      <c r="I86" s="93"/>
      <c r="J86" s="93"/>
      <c r="K86" s="93"/>
      <c r="L86" s="112"/>
      <c r="M86" s="113"/>
      <c r="N86" s="88"/>
      <c r="O86" s="89"/>
      <c r="P86" s="46"/>
    </row>
    <row r="87" spans="1:16" ht="27" customHeight="1" x14ac:dyDescent="0.3">
      <c r="A87" s="57"/>
      <c r="B87" s="48" t="s">
        <v>25</v>
      </c>
      <c r="C87" s="98">
        <f>1800*1.18</f>
        <v>2124</v>
      </c>
      <c r="D87" s="98">
        <f>1839*1.18</f>
        <v>2170.02</v>
      </c>
      <c r="E87" s="61"/>
      <c r="F87" s="98">
        <v>1839</v>
      </c>
      <c r="G87" s="98">
        <v>1911</v>
      </c>
      <c r="H87" s="92"/>
      <c r="I87" s="93"/>
      <c r="J87" s="93"/>
      <c r="K87" s="93"/>
      <c r="L87" s="112"/>
      <c r="M87" s="113"/>
      <c r="N87" s="71"/>
      <c r="O87" s="72"/>
      <c r="P87" s="46"/>
    </row>
    <row r="88" spans="1:16" ht="27" customHeight="1" x14ac:dyDescent="0.3">
      <c r="A88" s="57"/>
      <c r="B88" s="48" t="s">
        <v>64</v>
      </c>
      <c r="C88" s="98">
        <f>97.6*1.18</f>
        <v>115.16799999999999</v>
      </c>
      <c r="D88" s="98">
        <f>101.18*1.18</f>
        <v>119.39239999999999</v>
      </c>
      <c r="E88" s="50">
        <f>D88/C88*100</f>
        <v>103.66803278688525</v>
      </c>
      <c r="F88" s="51"/>
      <c r="G88" s="51"/>
      <c r="H88" s="51"/>
      <c r="I88" s="50"/>
      <c r="J88" s="50"/>
      <c r="K88" s="50"/>
      <c r="L88" s="52" t="s">
        <v>19</v>
      </c>
      <c r="M88" s="53" t="s">
        <v>20</v>
      </c>
      <c r="N88" s="54" t="s">
        <v>21</v>
      </c>
      <c r="O88" s="53" t="s">
        <v>22</v>
      </c>
      <c r="P88" s="67" t="s">
        <v>101</v>
      </c>
    </row>
    <row r="89" spans="1:16" ht="27" customHeight="1" x14ac:dyDescent="0.3">
      <c r="A89" s="57"/>
      <c r="B89" s="48" t="s">
        <v>24</v>
      </c>
      <c r="C89" s="98">
        <f>16.22*1.18</f>
        <v>19.139599999999998</v>
      </c>
      <c r="D89" s="98">
        <f>17.04*1.18</f>
        <v>20.107199999999999</v>
      </c>
      <c r="E89" s="51"/>
      <c r="F89" s="51"/>
      <c r="G89" s="51"/>
      <c r="H89" s="51"/>
      <c r="I89" s="50"/>
      <c r="J89" s="50"/>
      <c r="K89" s="50"/>
      <c r="L89" s="52"/>
      <c r="M89" s="59"/>
      <c r="N89" s="54"/>
      <c r="O89" s="53"/>
      <c r="P89" s="46"/>
    </row>
    <row r="90" spans="1:16" ht="27" customHeight="1" x14ac:dyDescent="0.3">
      <c r="A90" s="57"/>
      <c r="B90" s="48" t="s">
        <v>25</v>
      </c>
      <c r="C90" s="98">
        <f>1342.77*1.18</f>
        <v>1584.4685999999999</v>
      </c>
      <c r="D90" s="98">
        <f>1388.42*1.18</f>
        <v>1638.3356000000001</v>
      </c>
      <c r="E90" s="51"/>
      <c r="F90" s="51"/>
      <c r="G90" s="51"/>
      <c r="H90" s="51"/>
      <c r="I90" s="50"/>
      <c r="J90" s="50"/>
      <c r="K90" s="50"/>
      <c r="L90" s="52"/>
      <c r="M90" s="59"/>
      <c r="N90" s="54"/>
      <c r="O90" s="53"/>
      <c r="P90" s="46"/>
    </row>
    <row r="91" spans="1:16" ht="27" customHeight="1" x14ac:dyDescent="0.3">
      <c r="A91" s="114"/>
      <c r="B91" s="68" t="s">
        <v>102</v>
      </c>
      <c r="C91" s="61"/>
      <c r="D91" s="61"/>
      <c r="E91" s="50"/>
      <c r="F91" s="50"/>
      <c r="G91" s="50"/>
      <c r="H91" s="50"/>
      <c r="I91" s="62"/>
      <c r="J91" s="62"/>
      <c r="K91" s="62"/>
      <c r="L91" s="52"/>
      <c r="M91" s="59"/>
      <c r="N91" s="71"/>
      <c r="O91" s="72"/>
      <c r="P91" s="46"/>
    </row>
    <row r="92" spans="1:16" ht="27" customHeight="1" x14ac:dyDescent="0.3">
      <c r="A92" s="47" t="s">
        <v>103</v>
      </c>
      <c r="B92" s="48" t="s">
        <v>104</v>
      </c>
      <c r="C92" s="115"/>
      <c r="D92" s="115"/>
      <c r="E92" s="116"/>
      <c r="F92" s="115"/>
      <c r="G92" s="115"/>
      <c r="H92" s="117"/>
      <c r="I92" s="118"/>
      <c r="J92" s="118"/>
      <c r="K92" s="118"/>
      <c r="L92" s="52" t="s">
        <v>47</v>
      </c>
      <c r="M92" s="53" t="s">
        <v>105</v>
      </c>
      <c r="N92" s="54" t="s">
        <v>106</v>
      </c>
      <c r="O92" s="53" t="s">
        <v>107</v>
      </c>
      <c r="P92" s="119" t="s">
        <v>108</v>
      </c>
    </row>
    <row r="93" spans="1:16" ht="32.25" customHeight="1" x14ac:dyDescent="0.3">
      <c r="A93" s="114"/>
      <c r="B93" s="48" t="s">
        <v>24</v>
      </c>
      <c r="C93" s="98">
        <v>28.34</v>
      </c>
      <c r="D93" s="98">
        <v>31.69</v>
      </c>
      <c r="E93" s="116"/>
      <c r="F93" s="115"/>
      <c r="G93" s="115"/>
      <c r="H93" s="117"/>
      <c r="I93" s="118"/>
      <c r="J93" s="118"/>
      <c r="K93" s="118"/>
      <c r="L93" s="52"/>
      <c r="M93" s="53"/>
      <c r="N93" s="54"/>
      <c r="O93" s="53"/>
      <c r="P93" s="119"/>
    </row>
    <row r="94" spans="1:16" ht="27" customHeight="1" x14ac:dyDescent="0.3">
      <c r="A94" s="114"/>
      <c r="B94" s="48" t="s">
        <v>25</v>
      </c>
      <c r="C94" s="98">
        <v>1673</v>
      </c>
      <c r="D94" s="98">
        <v>1730</v>
      </c>
      <c r="E94" s="116"/>
      <c r="F94" s="115"/>
      <c r="G94" s="115"/>
      <c r="H94" s="120"/>
      <c r="I94" s="121"/>
      <c r="J94" s="121"/>
      <c r="K94" s="121"/>
      <c r="L94" s="52"/>
      <c r="M94" s="59"/>
      <c r="N94" s="71"/>
      <c r="O94" s="72"/>
      <c r="P94" s="46"/>
    </row>
  </sheetData>
  <sheetProtection password="E18F" sheet="1" objects="1" scenarios="1"/>
  <mergeCells count="11">
    <mergeCell ref="O2:O3"/>
    <mergeCell ref="P2:P3"/>
    <mergeCell ref="A1:N1"/>
    <mergeCell ref="A2:A3"/>
    <mergeCell ref="B2:B3"/>
    <mergeCell ref="C2:E2"/>
    <mergeCell ref="F2:H2"/>
    <mergeCell ref="I2:K2"/>
    <mergeCell ref="L2:L3"/>
    <mergeCell ref="M2:M3"/>
    <mergeCell ref="N2:N3"/>
  </mergeCells>
  <pageMargins left="7.874015748031496E-2" right="7.874015748031496E-2" top="7.874015748031496E-2" bottom="7.874015748031496E-2" header="0.31496062992125984" footer="0.31496062992125984"/>
  <pageSetup paperSize="9" scale="65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на 2017г ГВС с НДС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2017-02-01T06:46:37Z</dcterms:created>
  <dcterms:modified xsi:type="dcterms:W3CDTF">2017-02-01T07:05:05Z</dcterms:modified>
</cp:coreProperties>
</file>